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4.xml" ContentType="application/vnd.openxmlformats-officedocument.drawing+xml"/>
  <Override PartName="/xl/charts/chart17.xml" ContentType="application/vnd.openxmlformats-officedocument.drawingml.chart+xml"/>
  <Override PartName="/xl/drawings/drawing15.xml" ContentType="application/vnd.openxmlformats-officedocument.drawingml.chartshapes+xml"/>
  <Override PartName="/xl/charts/chart18.xml" ContentType="application/vnd.openxmlformats-officedocument.drawingml.chart+xml"/>
  <Override PartName="/xl/drawings/drawing16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7.xml" ContentType="application/vnd.openxmlformats-officedocument.drawing+xml"/>
  <Override PartName="/xl/charts/chart21.xml" ContentType="application/vnd.openxmlformats-officedocument.drawingml.chart+xml"/>
  <Override PartName="/xl/drawings/drawing18.xml" ContentType="application/vnd.openxmlformats-officedocument.drawing+xml"/>
  <Override PartName="/xl/charts/chart22.xml" ContentType="application/vnd.openxmlformats-officedocument.drawingml.chart+xml"/>
  <Override PartName="/xl/theme/themeOverride1.xml" ContentType="application/vnd.openxmlformats-officedocument.themeOverride+xml"/>
  <Override PartName="/xl/drawings/drawing19.xml" ContentType="application/vnd.openxmlformats-officedocument.drawing+xml"/>
  <Override PartName="/xl/charts/chart23.xml" ContentType="application/vnd.openxmlformats-officedocument.drawingml.chart+xml"/>
  <Override PartName="/xl/theme/themeOverride2.xml" ContentType="application/vnd.openxmlformats-officedocument.themeOverride+xml"/>
  <Override PartName="/xl/drawings/drawing20.xml" ContentType="application/vnd.openxmlformats-officedocument.drawing+xml"/>
  <Override PartName="/xl/comments1.xml" ContentType="application/vnd.openxmlformats-officedocument.spreadsheetml.comments+xml"/>
  <Override PartName="/xl/charts/chart24.xml" ContentType="application/vnd.openxmlformats-officedocument.drawingml.chart+xml"/>
  <Override PartName="/xl/theme/themeOverride3.xml" ContentType="application/vnd.openxmlformats-officedocument.themeOverride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22.xml" ContentType="application/vnd.openxmlformats-officedocument.drawing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480" yWindow="4680" windowWidth="4830" windowHeight="2535" tabRatio="942" activeTab="7"/>
  </bookViews>
  <sheets>
    <sheet name="1" sheetId="122" r:id="rId1"/>
    <sheet name="2" sheetId="126" r:id="rId2"/>
    <sheet name="3" sheetId="118" r:id="rId3"/>
    <sheet name="4" sheetId="119" r:id="rId4"/>
    <sheet name="5" sheetId="120" r:id="rId5"/>
    <sheet name="6" sheetId="105" r:id="rId6"/>
    <sheet name="7" sheetId="133" r:id="rId7"/>
    <sheet name="8" sheetId="145" r:id="rId8"/>
    <sheet name="9" sheetId="148" r:id="rId9"/>
    <sheet name="10" sheetId="146" r:id="rId10"/>
    <sheet name="11" sheetId="131" r:id="rId11"/>
    <sheet name="12" sheetId="156" r:id="rId12"/>
    <sheet name="Врезка1" sheetId="124" state="hidden" r:id="rId13"/>
    <sheet name="Врезка2" sheetId="125" state="hidden" r:id="rId14"/>
    <sheet name="Архив" sheetId="114" state="hidden" r:id="rId15"/>
    <sheet name="Архив2" sheetId="123" state="hidden" r:id="rId16"/>
    <sheet name="Рис 10 архив" sheetId="89" state="hidden" r:id="rId17"/>
    <sheet name="Рис14 архив" sheetId="110" state="hidden" r:id="rId18"/>
    <sheet name="Рис2.1" sheetId="67" state="hidden" r:id="rId19"/>
    <sheet name="Page1_1 (8)" sheetId="116" state="hidden" r:id="rId20"/>
    <sheet name="Page1_1 (10)" sheetId="117" state="hidden" r:id="rId21"/>
  </sheets>
  <externalReferences>
    <externalReference r:id="rId22"/>
  </externalReferences>
  <definedNames>
    <definedName name="_xlnm._FilterDatabase" localSheetId="20" hidden="1">'Page1_1 (10)'!$A$1:$E$35</definedName>
    <definedName name="_xlnm._FilterDatabase" localSheetId="19" hidden="1">'Page1_1 (8)'!$A$1:$F$35</definedName>
    <definedName name="_xlnm._FilterDatabase" localSheetId="15" hidden="1">Архив2!#REF!</definedName>
    <definedName name="_xlnm._FilterDatabase" localSheetId="16" hidden="1">'Рис 10 архив'!$B$6:$E$22</definedName>
    <definedName name="SpreadsheetBuilder_1" localSheetId="11" hidden="1">#REF!</definedName>
    <definedName name="SpreadsheetBuilder_1" hidden="1">#REF!</definedName>
    <definedName name="SpreadsheetBuilder_2" localSheetId="11" hidden="1">#REF!</definedName>
    <definedName name="SpreadsheetBuilder_2" hidden="1">#REF!</definedName>
    <definedName name="SpreadsheetBuilder_3" localSheetId="11" hidden="1">#REF!</definedName>
    <definedName name="SpreadsheetBuilder_3" hidden="1">#REF!</definedName>
    <definedName name="SpreadsheetBuilder_4" localSheetId="11" hidden="1">#REF!</definedName>
    <definedName name="SpreadsheetBuilder_4" hidden="1">#REF!</definedName>
    <definedName name="SpreadsheetBuilder_5" localSheetId="11" hidden="1">#REF!</definedName>
    <definedName name="SpreadsheetBuilder_5" hidden="1">#REF!</definedName>
    <definedName name="SpreadsheetBuilder_6" localSheetId="11" hidden="1">#REF!</definedName>
    <definedName name="SpreadsheetBuilder_6" hidden="1">#REF!</definedName>
    <definedName name="ФФФ" localSheetId="9">'[1]ПЕР+'!#REF!</definedName>
    <definedName name="ФФФ" localSheetId="10">'[1]ПЕР+'!#REF!</definedName>
    <definedName name="ФФФ" localSheetId="11">'[1]ПЕР+'!#REF!</definedName>
    <definedName name="ФФФ" localSheetId="1">'[1]ПЕР+'!#REF!</definedName>
    <definedName name="ФФФ" localSheetId="2">'[1]ПЕР+'!#REF!</definedName>
    <definedName name="ФФФ" localSheetId="3">'[1]ПЕР+'!#REF!</definedName>
    <definedName name="ФФФ" localSheetId="5">'[1]ПЕР+'!#REF!</definedName>
    <definedName name="ФФФ" localSheetId="6">'[1]ПЕР+'!#REF!</definedName>
    <definedName name="ФФФ" localSheetId="8">'[1]ПЕР+'!#REF!</definedName>
    <definedName name="ФФФ" localSheetId="14">'[1]ПЕР+'!#REF!</definedName>
    <definedName name="ФФФ" localSheetId="15">'[1]ПЕР+'!#REF!</definedName>
    <definedName name="ФФФ" localSheetId="16">'[1]ПЕР+'!#REF!</definedName>
    <definedName name="ФФФ" localSheetId="17">'[1]ПЕР+'!#REF!</definedName>
    <definedName name="ФФФ">'[1]ПЕР+'!#REF!</definedName>
  </definedNames>
  <calcPr calcId="144525"/>
</workbook>
</file>

<file path=xl/calcChain.xml><?xml version="1.0" encoding="utf-8"?>
<calcChain xmlns="http://schemas.openxmlformats.org/spreadsheetml/2006/main">
  <c r="AD23" i="125" l="1"/>
  <c r="P14" i="125"/>
  <c r="O14" i="125"/>
  <c r="N14" i="125"/>
  <c r="M14" i="125"/>
  <c r="P12" i="125"/>
  <c r="O12" i="125"/>
  <c r="N12" i="125"/>
  <c r="M12" i="125"/>
  <c r="L12" i="125"/>
  <c r="AD8" i="125"/>
  <c r="AC8" i="125"/>
  <c r="AB8" i="125"/>
  <c r="AA8" i="125"/>
  <c r="Z8" i="125"/>
  <c r="Y8" i="125"/>
  <c r="X8" i="125"/>
  <c r="W8" i="125"/>
  <c r="V8" i="125"/>
  <c r="U8" i="125"/>
  <c r="T8" i="125"/>
  <c r="S8" i="125"/>
  <c r="R8" i="125"/>
  <c r="Q8" i="125"/>
  <c r="P8" i="125"/>
  <c r="O8" i="125"/>
  <c r="N8" i="125"/>
  <c r="M8" i="125"/>
  <c r="L8" i="125"/>
  <c r="R78" i="124"/>
  <c r="AE74" i="124"/>
  <c r="AE73" i="124"/>
  <c r="V73" i="124"/>
  <c r="U73" i="124"/>
  <c r="T73" i="124"/>
  <c r="S73" i="124"/>
  <c r="AA75" i="124"/>
  <c r="R73" i="124"/>
  <c r="Q73" i="124"/>
  <c r="P73" i="124"/>
  <c r="O73" i="124"/>
  <c r="N73" i="124"/>
  <c r="M73" i="124"/>
  <c r="L73" i="124"/>
  <c r="K73" i="124"/>
  <c r="J73" i="124"/>
  <c r="I73" i="124"/>
  <c r="H73" i="124"/>
  <c r="AE72" i="124"/>
  <c r="AD68" i="124"/>
  <c r="AB63" i="124"/>
  <c r="X63" i="124"/>
  <c r="S63" i="124"/>
  <c r="O63" i="124"/>
  <c r="K63" i="124"/>
  <c r="Z32" i="124"/>
  <c r="AG24" i="124"/>
  <c r="AG22" i="124"/>
  <c r="Z22" i="124"/>
  <c r="Y22" i="124"/>
  <c r="AG21" i="124"/>
  <c r="Y21" i="124"/>
  <c r="Z20" i="124"/>
  <c r="Y20" i="124"/>
  <c r="AG19" i="124"/>
  <c r="AF19" i="124"/>
  <c r="Y19" i="124"/>
  <c r="Z18" i="124"/>
  <c r="Y18" i="124"/>
  <c r="AH17" i="124"/>
  <c r="AF17" i="124"/>
  <c r="Z17" i="124"/>
  <c r="Y17" i="124"/>
  <c r="AF16" i="124"/>
  <c r="Z16" i="124"/>
  <c r="Y16" i="124"/>
  <c r="AF15" i="124"/>
  <c r="AA15" i="124"/>
  <c r="Z14" i="124"/>
  <c r="Y14" i="124"/>
  <c r="AF13" i="124"/>
  <c r="Y13" i="124"/>
  <c r="AF12" i="124"/>
  <c r="Y12" i="124"/>
  <c r="AA11" i="124"/>
  <c r="AF10" i="124"/>
  <c r="Z10" i="124"/>
  <c r="Y10" i="124"/>
  <c r="AG9" i="124"/>
  <c r="AF9" i="124"/>
  <c r="AA9" i="124"/>
  <c r="Z9" i="124"/>
  <c r="AF8" i="124"/>
  <c r="AA8" i="124"/>
  <c r="AA7" i="124"/>
  <c r="Z7" i="124"/>
  <c r="G23" i="105"/>
  <c r="F40" i="110"/>
  <c r="G40" i="110"/>
  <c r="F41" i="110"/>
  <c r="G41" i="110"/>
  <c r="F39" i="110"/>
  <c r="G39" i="110"/>
  <c r="F34" i="110"/>
  <c r="G34" i="110"/>
  <c r="F35" i="110"/>
  <c r="G35" i="110"/>
  <c r="F33" i="110"/>
  <c r="G33" i="110"/>
  <c r="G79" i="89"/>
  <c r="F72" i="89"/>
  <c r="G72" i="89"/>
  <c r="F73" i="89"/>
  <c r="G73" i="89"/>
  <c r="F74" i="89"/>
  <c r="G74" i="89"/>
  <c r="F75" i="89"/>
  <c r="G75" i="89"/>
  <c r="F76" i="89"/>
  <c r="G76" i="89"/>
  <c r="F77" i="89"/>
  <c r="G77" i="89"/>
  <c r="F78" i="89"/>
  <c r="G78" i="89"/>
  <c r="F79" i="89"/>
  <c r="F80" i="89"/>
  <c r="G80" i="89"/>
  <c r="F81" i="89"/>
  <c r="G81" i="89"/>
  <c r="F82" i="89"/>
  <c r="G82" i="89"/>
  <c r="F83" i="89"/>
  <c r="G83" i="89"/>
  <c r="F84" i="89"/>
  <c r="G84" i="89"/>
  <c r="F71" i="89"/>
  <c r="G71" i="89"/>
  <c r="G60" i="89"/>
  <c r="I60" i="89"/>
  <c r="G56" i="89"/>
  <c r="I56" i="89"/>
  <c r="G45" i="89"/>
  <c r="I45" i="89"/>
  <c r="G54" i="89"/>
  <c r="I54" i="89"/>
  <c r="G49" i="89"/>
  <c r="I49" i="89"/>
  <c r="G46" i="89"/>
  <c r="I46" i="89"/>
  <c r="G55" i="89"/>
  <c r="I55" i="89"/>
  <c r="G51" i="89"/>
  <c r="I51" i="89"/>
  <c r="G50" i="89"/>
  <c r="I50" i="89"/>
  <c r="G47" i="89"/>
  <c r="I47" i="89"/>
  <c r="G53" i="89"/>
  <c r="I53" i="89"/>
  <c r="G58" i="89"/>
  <c r="I58" i="89"/>
  <c r="G59" i="89"/>
  <c r="I59" i="89"/>
  <c r="G52" i="89"/>
  <c r="I52" i="89"/>
  <c r="G57" i="89"/>
  <c r="I57" i="89"/>
  <c r="G48" i="89"/>
  <c r="I48" i="89"/>
  <c r="H7" i="110"/>
  <c r="H10" i="110"/>
  <c r="H6" i="110"/>
  <c r="C28" i="89"/>
  <c r="E28" i="89"/>
  <c r="C37" i="89"/>
  <c r="E37" i="89"/>
  <c r="C27" i="89"/>
  <c r="E27" i="89"/>
  <c r="C29" i="89"/>
  <c r="E29" i="89"/>
  <c r="C36" i="89"/>
  <c r="E36" i="89"/>
  <c r="C30" i="89"/>
  <c r="E30" i="89"/>
  <c r="C32" i="89"/>
  <c r="E32" i="89"/>
  <c r="C33" i="89"/>
  <c r="E33" i="89"/>
  <c r="C31" i="89"/>
  <c r="E31" i="89"/>
  <c r="C35" i="89"/>
  <c r="E35" i="89"/>
  <c r="E23" i="89"/>
  <c r="G4" i="89"/>
  <c r="G23" i="89"/>
  <c r="K11" i="89"/>
  <c r="K16" i="89"/>
  <c r="K14" i="89"/>
  <c r="K13" i="89"/>
  <c r="K21" i="89"/>
  <c r="K20" i="89"/>
  <c r="K9" i="89"/>
  <c r="K18" i="89"/>
  <c r="K8" i="89"/>
  <c r="K17" i="89"/>
  <c r="K12" i="89"/>
  <c r="K7" i="89"/>
  <c r="K10" i="89"/>
  <c r="K19" i="89"/>
  <c r="K15" i="89"/>
  <c r="I19" i="117"/>
  <c r="K18" i="117"/>
  <c r="P10" i="117"/>
  <c r="O10" i="117"/>
  <c r="N10" i="117"/>
  <c r="B65" i="116"/>
  <c r="C64" i="116"/>
  <c r="B45" i="116"/>
  <c r="F37" i="116"/>
  <c r="F38" i="116"/>
  <c r="M36" i="116"/>
  <c r="M41" i="116"/>
  <c r="G35" i="116"/>
  <c r="G34" i="116"/>
  <c r="G33" i="116"/>
  <c r="G32" i="116"/>
  <c r="G31" i="116"/>
  <c r="G30" i="116"/>
  <c r="G29" i="116"/>
  <c r="G28" i="116"/>
  <c r="G27" i="116"/>
  <c r="G26" i="116"/>
  <c r="G25" i="116"/>
  <c r="G24" i="116"/>
  <c r="G23" i="116"/>
  <c r="G22" i="116"/>
  <c r="G21" i="116"/>
  <c r="G20" i="116"/>
  <c r="G19" i="116"/>
  <c r="G18" i="116"/>
  <c r="G17" i="116"/>
  <c r="G16" i="116"/>
  <c r="G15" i="116"/>
  <c r="G14" i="116"/>
  <c r="G13" i="116"/>
  <c r="G12" i="116"/>
  <c r="G11" i="116"/>
  <c r="G10" i="116"/>
  <c r="G9" i="116"/>
  <c r="G8" i="116"/>
  <c r="G7" i="116"/>
  <c r="G6" i="116"/>
  <c r="G5" i="116"/>
  <c r="G4" i="116"/>
  <c r="G3" i="116"/>
  <c r="G2" i="116"/>
  <c r="H6" i="116"/>
  <c r="H11" i="116"/>
  <c r="K12" i="117"/>
  <c r="K14" i="117"/>
  <c r="K15" i="117"/>
  <c r="K16" i="117"/>
  <c r="K17" i="117"/>
  <c r="K13" i="117"/>
  <c r="I9" i="89"/>
  <c r="F23" i="89"/>
  <c r="I12" i="89"/>
  <c r="I8" i="89"/>
  <c r="I21" i="89"/>
  <c r="I20" i="89"/>
  <c r="I17" i="89"/>
  <c r="I16" i="89"/>
  <c r="I13" i="89"/>
  <c r="I24" i="89"/>
  <c r="F25" i="89"/>
  <c r="C40" i="89"/>
  <c r="C34" i="89"/>
  <c r="E34" i="89"/>
  <c r="I19" i="89"/>
  <c r="I15" i="89"/>
  <c r="I11" i="89"/>
  <c r="I7" i="89"/>
  <c r="I18" i="89"/>
  <c r="I14" i="89"/>
  <c r="I10" i="89"/>
  <c r="C5" i="110"/>
  <c r="C7" i="110"/>
  <c r="C10" i="110"/>
  <c r="C8" i="110"/>
  <c r="C9" i="110"/>
  <c r="C11" i="110"/>
  <c r="C6" i="110"/>
  <c r="C8" i="89"/>
  <c r="C9" i="89"/>
  <c r="C10" i="89"/>
  <c r="C11" i="89"/>
  <c r="C12" i="89"/>
  <c r="C13" i="89"/>
  <c r="C14" i="89"/>
  <c r="C15" i="89"/>
  <c r="C16" i="89"/>
  <c r="C17" i="89"/>
  <c r="C18" i="89"/>
  <c r="C19" i="89"/>
  <c r="C20" i="89"/>
  <c r="C21" i="89"/>
  <c r="C7" i="89"/>
  <c r="J12" i="105"/>
  <c r="J11" i="105"/>
  <c r="I16" i="105"/>
  <c r="H16" i="105"/>
  <c r="G16" i="105"/>
  <c r="F16" i="105"/>
  <c r="E16" i="105"/>
  <c r="D16" i="105"/>
  <c r="C16" i="105"/>
  <c r="B16" i="105"/>
  <c r="I14" i="105"/>
  <c r="H14" i="105"/>
  <c r="G14" i="105"/>
  <c r="F14" i="105"/>
  <c r="E14" i="105"/>
  <c r="D14" i="105"/>
  <c r="C14" i="105"/>
  <c r="B14" i="105"/>
  <c r="H13" i="105"/>
  <c r="G13" i="105"/>
  <c r="F13" i="105"/>
  <c r="E13" i="105"/>
  <c r="D13" i="105"/>
  <c r="C13" i="105"/>
  <c r="I12" i="105"/>
  <c r="H12" i="105"/>
  <c r="G12" i="105"/>
  <c r="F12" i="105"/>
  <c r="E12" i="105"/>
  <c r="D12" i="105"/>
  <c r="C12" i="105"/>
  <c r="B12" i="105"/>
  <c r="I11" i="105"/>
  <c r="H11" i="105"/>
  <c r="G11" i="105"/>
  <c r="F11" i="105"/>
  <c r="E11" i="105"/>
  <c r="D11" i="105"/>
  <c r="C11" i="105"/>
  <c r="B11" i="105"/>
  <c r="F10" i="105" l="1"/>
  <c r="G10" i="105"/>
  <c r="B10" i="105"/>
  <c r="C10" i="105"/>
  <c r="D10" i="105"/>
  <c r="E10" i="105"/>
</calcChain>
</file>

<file path=xl/comments1.xml><?xml version="1.0" encoding="utf-8"?>
<comments xmlns="http://schemas.openxmlformats.org/spreadsheetml/2006/main">
  <authors>
    <author>Иванова Вероника Николаевна</author>
  </authors>
  <commentList>
    <comment ref="G5" authorId="0">
      <text>
        <r>
          <rPr>
            <b/>
            <sz val="9"/>
            <color indexed="81"/>
            <rFont val="Tahoma"/>
            <family val="2"/>
            <charset val="204"/>
          </rPr>
          <t>Иванова Вероника Николаевна:</t>
        </r>
        <r>
          <rPr>
            <sz val="9"/>
            <color indexed="81"/>
            <rFont val="Tahoma"/>
            <family val="2"/>
            <charset val="204"/>
          </rPr>
          <t xml:space="preserve">
взято из нового файла</t>
        </r>
      </text>
    </comment>
  </commentList>
</comments>
</file>

<file path=xl/sharedStrings.xml><?xml version="1.0" encoding="utf-8"?>
<sst xmlns="http://schemas.openxmlformats.org/spreadsheetml/2006/main" count="1048" uniqueCount="350">
  <si>
    <t>Активы</t>
  </si>
  <si>
    <t>млн руб.</t>
  </si>
  <si>
    <t>Наименование показателя</t>
  </si>
  <si>
    <t>СЧА АИФ</t>
  </si>
  <si>
    <t xml:space="preserve">     Закрытые ПИФ, том числе</t>
  </si>
  <si>
    <t xml:space="preserve">               акций</t>
  </si>
  <si>
    <t xml:space="preserve">               денежного рынка</t>
  </si>
  <si>
    <t xml:space="preserve">               долгосрочных прямых инвестиций</t>
  </si>
  <si>
    <t xml:space="preserve">               ипотечный</t>
  </si>
  <si>
    <t xml:space="preserve">               кредитный</t>
  </si>
  <si>
    <t xml:space="preserve">               недвижимости</t>
  </si>
  <si>
    <t xml:space="preserve">               облигаций</t>
  </si>
  <si>
    <t xml:space="preserve">              особо рисковых (венчурных) инвестиций</t>
  </si>
  <si>
    <t xml:space="preserve">               прямых инвестиций</t>
  </si>
  <si>
    <t xml:space="preserve">               рентный</t>
  </si>
  <si>
    <t xml:space="preserve">               смешанных инвестиций</t>
  </si>
  <si>
    <t xml:space="preserve">               хедж-фонд</t>
  </si>
  <si>
    <t xml:space="preserve">               художественных ценностей</t>
  </si>
  <si>
    <t xml:space="preserve">     Открытые ПИФ, том числе</t>
  </si>
  <si>
    <t xml:space="preserve">               индексный</t>
  </si>
  <si>
    <t xml:space="preserve">               фонд фондов</t>
  </si>
  <si>
    <t xml:space="preserve">               товарного рынка</t>
  </si>
  <si>
    <t>Выдача и погашение ивестиционных паев ПИФ за квартал</t>
  </si>
  <si>
    <t>млрд руб.</t>
  </si>
  <si>
    <t>Объем выдачи ЗПИФ за квартал</t>
  </si>
  <si>
    <t>Объем погашения ЗПИФ за квартал</t>
  </si>
  <si>
    <t>Объем выдачи ОПИФ за квартал</t>
  </si>
  <si>
    <t>Объем погашения ОПИФ за квартал</t>
  </si>
  <si>
    <t>Объем выдачи ИПИФ за квартал</t>
  </si>
  <si>
    <t>Объем погашения ИПИФ за квартал</t>
  </si>
  <si>
    <t>ЗПИФ</t>
  </si>
  <si>
    <t>ОПИФ</t>
  </si>
  <si>
    <t>ИПИФ</t>
  </si>
  <si>
    <t>II кв. 2015</t>
  </si>
  <si>
    <t>III кв. 2015</t>
  </si>
  <si>
    <t>IV кв. 2015</t>
  </si>
  <si>
    <t>I кв. 2016</t>
  </si>
  <si>
    <t>II кв. 2016</t>
  </si>
  <si>
    <t>Прочие</t>
  </si>
  <si>
    <t>Смешанных инвестиций</t>
  </si>
  <si>
    <t>Долгосрочных пр. инв.</t>
  </si>
  <si>
    <t>Недвижимости</t>
  </si>
  <si>
    <t>Акций</t>
  </si>
  <si>
    <t>III кв. 2016</t>
  </si>
  <si>
    <t>Рентный</t>
  </si>
  <si>
    <t>Прямых инвестиций</t>
  </si>
  <si>
    <t>Кредитный</t>
  </si>
  <si>
    <t>Облигаций</t>
  </si>
  <si>
    <t>Фонд фондов</t>
  </si>
  <si>
    <t>Индексный</t>
  </si>
  <si>
    <t>Денежного рынка</t>
  </si>
  <si>
    <t>Хедж-фонд</t>
  </si>
  <si>
    <t>Прирост СЧА ОПИФ за квартал</t>
  </si>
  <si>
    <t>Прирост СЧА ИПИФ за квартал</t>
  </si>
  <si>
    <t>Акции</t>
  </si>
  <si>
    <t>Вклады в уставные (складочные) капиталы</t>
  </si>
  <si>
    <t>Иностранные ценные бумаги</t>
  </si>
  <si>
    <t>Прочие активы</t>
  </si>
  <si>
    <t>млн рублей</t>
  </si>
  <si>
    <t>I кв. 2015</t>
  </si>
  <si>
    <t>Недвижимость</t>
  </si>
  <si>
    <t>IV кв. 2016</t>
  </si>
  <si>
    <t xml:space="preserve">динамика за кв, млрд рублей </t>
  </si>
  <si>
    <t>Рисунок 2.1</t>
  </si>
  <si>
    <t>Динамика СЧА АИФов (млрд руб.)</t>
  </si>
  <si>
    <t>Венчурных инвестиций</t>
  </si>
  <si>
    <t>http://www.gks.ru/wps/wcm/connect/rosstat_main/rosstat/ru/statistics/tariffs/#</t>
  </si>
  <si>
    <t>Объем выдачи за квартал</t>
  </si>
  <si>
    <t>Объем погашения за квартал</t>
  </si>
  <si>
    <t>I кв. 2017</t>
  </si>
  <si>
    <t>Депозиты</t>
  </si>
  <si>
    <t xml:space="preserve">Облигации российских эмитентов  </t>
  </si>
  <si>
    <t>Инвестиционные паи ПИФ</t>
  </si>
  <si>
    <t xml:space="preserve">               комбинированный</t>
  </si>
  <si>
    <t>Комбинированный</t>
  </si>
  <si>
    <t>прирост за кв</t>
  </si>
  <si>
    <t>Итого нетто-приток/отток</t>
  </si>
  <si>
    <t>II кв. 2017</t>
  </si>
  <si>
    <t>X</t>
  </si>
  <si>
    <t xml:space="preserve">               рыночных финансовых инструментов</t>
  </si>
  <si>
    <t>Рыночных финансовых инструментов</t>
  </si>
  <si>
    <t>Рыночных фин. инструментов</t>
  </si>
  <si>
    <t>Количество зарегистрированных ПИФов  по типам (ед.)</t>
  </si>
  <si>
    <t>Количество управляющих компаний, осуществляющих Д.У. ПИФ</t>
  </si>
  <si>
    <t>Динамика активов ПИФов</t>
  </si>
  <si>
    <t>Чистая выдача/погашение инвестиционных паев (млрд рублей)</t>
  </si>
  <si>
    <t>Структура активов ПИФов (трлн рублей)</t>
  </si>
  <si>
    <t>Динамика СЧА, объемов выдачи и погашения инвестиционных паев ЗПИФов (млрд руб.)</t>
  </si>
  <si>
    <t>Динамика СЧА, объемов выдачи и погашения инвестиционных паев ОПИФов (млрд руб.)</t>
  </si>
  <si>
    <t>Распределение СЧА ОПИФов по категориям фондов (млрд руб.)</t>
  </si>
  <si>
    <t>Динамика СЧА, объемов выдачи и погашения инвестиционных паев ИПИФов (млрд руб.)</t>
  </si>
  <si>
    <t>III кв. 2017</t>
  </si>
  <si>
    <t>http://www.gks.ru/free_doc/new_site/prices/bd/bd_1902001.htm</t>
  </si>
  <si>
    <t xml:space="preserve">               финансовых инструментов</t>
  </si>
  <si>
    <t xml:space="preserve">     Интервальные ПИФ</t>
  </si>
  <si>
    <t>Управляющая компания</t>
  </si>
  <si>
    <t>Наименование фонда</t>
  </si>
  <si>
    <t>Тип фонда</t>
  </si>
  <si>
    <t>Категория фонда</t>
  </si>
  <si>
    <t>Признак квалифицированного инвестора</t>
  </si>
  <si>
    <t>13 Стоимость чистых активов (разность строк 09-12), Значение показателя на текущую отчетную дату</t>
  </si>
  <si>
    <t xml:space="preserve">Общество с ограниченной ответственностью "Управляющая компания "Аврора Капитал Менеджмент" </t>
  </si>
  <si>
    <t>Интервальный паевой инвестиционный комбинированный фонд «Финансовый сектор» под управлением Общества с ограниченной ответственностью «Управляющая компания «Аврора Капитал Менеджмент»</t>
  </si>
  <si>
    <t xml:space="preserve">Интервальный </t>
  </si>
  <si>
    <t>Да</t>
  </si>
  <si>
    <t>Интервальный паевой инвестиционный комбинированный фонд «Мировые рынки капитала» под управлением Общества с ограниченной ответственностью «Управляющая компания «Аврора Капитал Менеджмент»</t>
  </si>
  <si>
    <t xml:space="preserve">Общество с ограниченной ответственностью "ТРИНФИКО Пропети Менеджмент" </t>
  </si>
  <si>
    <t xml:space="preserve">ИПИФ хедж-фонд «ТРИНФИКО Еврооблигации» </t>
  </si>
  <si>
    <t>Общество с ограниченной ответственностью "Управляющая компания "Альфа-Капитал"</t>
  </si>
  <si>
    <t xml:space="preserve">Интервальный паевой инвестиционный фонд рыночных финансовых инструментов «Альфа-Капитал» </t>
  </si>
  <si>
    <t>Нет</t>
  </si>
  <si>
    <t>Общество с ограниченной ответственностью "Управляющая компания "КапиталЪ"</t>
  </si>
  <si>
    <t>Интервальный паевой инвестиционный фонд рыночных финансовых инструментов «Нефтяной Фонд Промышленной Реконструкции и Развития».</t>
  </si>
  <si>
    <t>топ-5</t>
  </si>
  <si>
    <t>ИПИФ  рыночных финансовых инструментов «Высокие технологии»</t>
  </si>
  <si>
    <t>ИПИФ рыночных финансовых инструментов «Инвестбаланс»</t>
  </si>
  <si>
    <t xml:space="preserve">Общество с ограниченной ответственностью "Управляющая компания "Энергия-инвест" </t>
  </si>
  <si>
    <t>ИПИФ смешанных инвестиций "Энергия - инвест"</t>
  </si>
  <si>
    <t xml:space="preserve">Смешанных инвестиций </t>
  </si>
  <si>
    <t>ИПИФ рыночных финансовых инструментов «Альфа-Капитал Акции роста».</t>
  </si>
  <si>
    <t xml:space="preserve">Общество с ограниченной ответственностью "ПЕРАМО" </t>
  </si>
  <si>
    <t xml:space="preserve">ИПИФ смешанных инвестиций "КОНСЕРВАТОРия" </t>
  </si>
  <si>
    <t>топ-10</t>
  </si>
  <si>
    <t xml:space="preserve">Открытое акционерное общество "Управляющая компания "Арсагера" </t>
  </si>
  <si>
    <t xml:space="preserve">ИПИФ акций "Арсагера - акции 6.4" </t>
  </si>
  <si>
    <t xml:space="preserve">Акций </t>
  </si>
  <si>
    <t>Акционерное общество ВТБ Капитал Управление активами</t>
  </si>
  <si>
    <t xml:space="preserve">ОПИФ смешанных инвестиций "Кузнецкий мост" </t>
  </si>
  <si>
    <t xml:space="preserve">Закрытое акционерное общество "КапиталЪ Управление активами" </t>
  </si>
  <si>
    <t xml:space="preserve">ИПИФ хедж-фонд "КапиталЪ-Инвестиционный" </t>
  </si>
  <si>
    <t xml:space="preserve">ИПИФ товарного рынка "ВТБ - Фонд Драгоценных металлов" </t>
  </si>
  <si>
    <t xml:space="preserve">Товарного рынка </t>
  </si>
  <si>
    <t xml:space="preserve">ТКБ Инвестмент Партнерс (Акционерное общество) </t>
  </si>
  <si>
    <t xml:space="preserve">ИПИФ хедж-фонд «ТКБ Инвестмент Партнерс – Хеджевый фонд» </t>
  </si>
  <si>
    <t xml:space="preserve">Закрытое акционерное общество "Газпромбанк - Управление активами" </t>
  </si>
  <si>
    <t xml:space="preserve">ИПИФ хедж - фонд "Газпромбанк - Еврооблигации плюс" </t>
  </si>
  <si>
    <t xml:space="preserve">Общество с ограниченной ответственностью "Управляющая компания "Райффайзен Капитал" </t>
  </si>
  <si>
    <t>Интервальный паевой инвестиционный фонд рыночных финансовых инструментов "Райффайзен - Драгоценные металлы"</t>
  </si>
  <si>
    <t xml:space="preserve">Общество с ограниченной ответственностью Управляющая компания "Профит гарант" </t>
  </si>
  <si>
    <t xml:space="preserve">ИПИФ хедж-фонд "Эйч-бондз" </t>
  </si>
  <si>
    <t>Акционерное общество "СОЛИД Менеджмент"</t>
  </si>
  <si>
    <t>Интервальный паевой инвестиционный фонд рыночных финансовых инструментов «Солид Интервальный».</t>
  </si>
  <si>
    <t xml:space="preserve">Общество с ограниченной ответственностью "Управляющая компания "БФА" </t>
  </si>
  <si>
    <t xml:space="preserve">ИПИФ акций "ОПЛОТ" </t>
  </si>
  <si>
    <t xml:space="preserve">Общество с ограниченной ответственностью "Инвестиционное партнерство "ВербаКапитал" </t>
  </si>
  <si>
    <t xml:space="preserve">ИПИФ хедж-фонд "ВербаФонд" </t>
  </si>
  <si>
    <t xml:space="preserve">Интервальный паевой инвестиционный фонд рыночных финансовых инструментов "Арсагера – акции Мира" </t>
  </si>
  <si>
    <t xml:space="preserve">Закрытое акционерное общество "Управляющая компания" </t>
  </si>
  <si>
    <t xml:space="preserve">ИПИФ смешанных инвестиций "Аз - Капитал" </t>
  </si>
  <si>
    <t xml:space="preserve">Общество с ограниченной ответственностью "Управление Сбережениями" </t>
  </si>
  <si>
    <t xml:space="preserve">ИПИФ акций "РГС – Перспективные инвестиции" </t>
  </si>
  <si>
    <t xml:space="preserve">ИПИФ хедж-фонд «КапиталЪ-Универсальный» </t>
  </si>
  <si>
    <t>Акционерное общество "Управляющая компания "Стратегия"</t>
  </si>
  <si>
    <t xml:space="preserve">ИПИФ смешанных инвестиций "Капитал Инвест - Интервальный" </t>
  </si>
  <si>
    <t xml:space="preserve">Закрытое акционерное общество Управляющая компания "ЮНИТИ ТРАСТ" </t>
  </si>
  <si>
    <t xml:space="preserve">ИПИФ смешанных инвестиций "Смелый" </t>
  </si>
  <si>
    <t xml:space="preserve">Общество с ограниченной ответственностью "Управляющая компания "Инвест Менеджмент Центр" </t>
  </si>
  <si>
    <t xml:space="preserve">ИПИФ хедж-фонд "Форвард" </t>
  </si>
  <si>
    <t xml:space="preserve">ОБЩЕСТВО С ОГРАНИЧЕННОЙ ОТВЕТСТВЕННОСТЬЮ "РУССКОЕ ИНВЕСТИЦИОННОЕ ОБЩЕСТВО" </t>
  </si>
  <si>
    <t xml:space="preserve">ИПИФ фондов "Н-Факториал 585" </t>
  </si>
  <si>
    <t xml:space="preserve">Фондов </t>
  </si>
  <si>
    <t xml:space="preserve">ИПИФ смешанных инвестиций "Спокойный" </t>
  </si>
  <si>
    <t xml:space="preserve">Общество с ограниченной ответственностью "ПРОМЫШЛЕННЫЕ ТРАДИЦИИ" </t>
  </si>
  <si>
    <t xml:space="preserve">ИПИФ смешанных инвестиций "Русский Промышленный" </t>
  </si>
  <si>
    <t xml:space="preserve">Общество с ограниченной ответственностью "Управляющая компания "ОЛМА-ФИНАНС" </t>
  </si>
  <si>
    <t xml:space="preserve">ИПИФ фондов "ОЛМА - ДРАГОЦЕННЫЕ МЕТАЛЛЫ" </t>
  </si>
  <si>
    <t xml:space="preserve">ИПИФ хедж-фонд "Н-Факториал 840" </t>
  </si>
  <si>
    <t xml:space="preserve">Общество с ограниченной ответственностью "Академ-Финанс" </t>
  </si>
  <si>
    <t xml:space="preserve">ИПИФ товарного рынка "Карат" </t>
  </si>
  <si>
    <t>на 30.09.2017</t>
  </si>
  <si>
    <t>нлу на 30.09.2010</t>
  </si>
  <si>
    <t>Количество владельцев акций (паев) (согласно сданной отчетности)</t>
  </si>
  <si>
    <t xml:space="preserve">     Закрытые ПИФ</t>
  </si>
  <si>
    <t xml:space="preserve">     Открытые ПИФ</t>
  </si>
  <si>
    <t>1 фонд</t>
  </si>
  <si>
    <t>2 фонда</t>
  </si>
  <si>
    <t>3 фонда</t>
  </si>
  <si>
    <t>Комбинированный (5,9% от числа ИПИФов)</t>
  </si>
  <si>
    <t>Хедж-фонд (26,5%)</t>
  </si>
  <si>
    <t>Рыночных финансовых инструментов (23,5%)</t>
  </si>
  <si>
    <t>Смешанных инвестиций (23,5%)</t>
  </si>
  <si>
    <t>Акций (8,8%)</t>
  </si>
  <si>
    <t>Товарного рынка (5,9%)</t>
  </si>
  <si>
    <t>Фондов (5,9%)</t>
  </si>
  <si>
    <t>IV кв. 2017</t>
  </si>
  <si>
    <t>I кв. 2018</t>
  </si>
  <si>
    <t>Димамика СЧА отдельных категорий ЗПИФов в I квартале 2018 года (млрд руб.)</t>
  </si>
  <si>
    <t>Динамика СЧА отдельных категорий ОПИФов в I квартале 2018 года (млрд руб.)</t>
  </si>
  <si>
    <t>II кв. 2018</t>
  </si>
  <si>
    <t>III кв. 2018</t>
  </si>
  <si>
    <t>Динамика аннуализированной квартальной доходности ПИФов и инфляции (% годовых)</t>
  </si>
  <si>
    <t>IV кв. 2018</t>
  </si>
  <si>
    <t>БПИФ</t>
  </si>
  <si>
    <t>Прирост СЧА ЗПИФ за квартал</t>
  </si>
  <si>
    <t xml:space="preserve">Прирост СЧА ОПИФ за квартал </t>
  </si>
  <si>
    <t xml:space="preserve">Прирост СЧА ИПИФ за квартал </t>
  </si>
  <si>
    <t>I кв. 2019</t>
  </si>
  <si>
    <t xml:space="preserve">Инфляция </t>
  </si>
  <si>
    <t>II кв. 2019</t>
  </si>
  <si>
    <t>86,,9</t>
  </si>
  <si>
    <t>Доля активов ПИФвов в ВВП</t>
  </si>
  <si>
    <t>оесд</t>
  </si>
  <si>
    <t>активы к ВВП</t>
  </si>
  <si>
    <t>депозиты</t>
  </si>
  <si>
    <t>ПИФы</t>
  </si>
  <si>
    <t>Люксембург</t>
  </si>
  <si>
    <t>закрытые</t>
  </si>
  <si>
    <t>открытые</t>
  </si>
  <si>
    <t>фонды денежного рынка</t>
  </si>
  <si>
    <t>европейский банк</t>
  </si>
  <si>
    <t>Дания</t>
  </si>
  <si>
    <t>Германия</t>
  </si>
  <si>
    <t>США</t>
  </si>
  <si>
    <t>Япония</t>
  </si>
  <si>
    <t>Чехия</t>
  </si>
  <si>
    <t>Корея</t>
  </si>
  <si>
    <t>Швеция</t>
  </si>
  <si>
    <t>Словения</t>
  </si>
  <si>
    <t>Ирландия</t>
  </si>
  <si>
    <t>Канада</t>
  </si>
  <si>
    <t>Бельгия</t>
  </si>
  <si>
    <t>Франция</t>
  </si>
  <si>
    <t>Испания</t>
  </si>
  <si>
    <t>Мальта</t>
  </si>
  <si>
    <t>Финляндия</t>
  </si>
  <si>
    <t>Нидерланды</t>
  </si>
  <si>
    <t>Италия</t>
  </si>
  <si>
    <t>Австрия</t>
  </si>
  <si>
    <t>Чили</t>
  </si>
  <si>
    <t>Исландия</t>
  </si>
  <si>
    <t>Новая Зеландия</t>
  </si>
  <si>
    <t>Греция</t>
  </si>
  <si>
    <t>Израиль</t>
  </si>
  <si>
    <t xml:space="preserve">Венгрия </t>
  </si>
  <si>
    <t>Турция</t>
  </si>
  <si>
    <t>Польша</t>
  </si>
  <si>
    <t>Кипр</t>
  </si>
  <si>
    <t>Португалия</t>
  </si>
  <si>
    <t>Эстония</t>
  </si>
  <si>
    <t>Словакия</t>
  </si>
  <si>
    <t>Литва</t>
  </si>
  <si>
    <t>Россия</t>
  </si>
  <si>
    <t>Латвия</t>
  </si>
  <si>
    <t>только ОПИФы и ЗПИФы без Фондов ден. рынка</t>
  </si>
  <si>
    <t>Доля депозитов в ВВП</t>
  </si>
  <si>
    <t>австрия</t>
  </si>
  <si>
    <t>бельгия</t>
  </si>
  <si>
    <t>канада</t>
  </si>
  <si>
    <t>чили</t>
  </si>
  <si>
    <t>чехия</t>
  </si>
  <si>
    <t>дания</t>
  </si>
  <si>
    <t>эстония</t>
  </si>
  <si>
    <t>финляндия</t>
  </si>
  <si>
    <t>франция</t>
  </si>
  <si>
    <t>германия</t>
  </si>
  <si>
    <t>греция</t>
  </si>
  <si>
    <t xml:space="preserve">венгрия </t>
  </si>
  <si>
    <t>исландия</t>
  </si>
  <si>
    <t>израиль</t>
  </si>
  <si>
    <t>италия</t>
  </si>
  <si>
    <t>япония</t>
  </si>
  <si>
    <t>корея</t>
  </si>
  <si>
    <t>литва</t>
  </si>
  <si>
    <t>люксембург</t>
  </si>
  <si>
    <t>новая зеландия</t>
  </si>
  <si>
    <t>словения</t>
  </si>
  <si>
    <t>испания</t>
  </si>
  <si>
    <t>швеция</t>
  </si>
  <si>
    <t>турция</t>
  </si>
  <si>
    <t xml:space="preserve"> 30.06.2014</t>
  </si>
  <si>
    <t xml:space="preserve"> 30.09.2014</t>
  </si>
  <si>
    <t xml:space="preserve"> 31.03.2015</t>
  </si>
  <si>
    <t xml:space="preserve"> 30.06.2015 </t>
  </si>
  <si>
    <t xml:space="preserve"> 31.03.2016</t>
  </si>
  <si>
    <t xml:space="preserve"> 30.06.2016 </t>
  </si>
  <si>
    <t xml:space="preserve"> 31.03.2017 </t>
  </si>
  <si>
    <t xml:space="preserve"> 30.06.2017 </t>
  </si>
  <si>
    <t xml:space="preserve"> 31.12.2017</t>
  </si>
  <si>
    <t>трлн руб.</t>
  </si>
  <si>
    <t>Отношение активов к ВВП</t>
  </si>
  <si>
    <t>%</t>
  </si>
  <si>
    <t>Стоимость чистых активов - СЧА</t>
  </si>
  <si>
    <t>Темпы прироста объемов депозитов физических лиц в рублях</t>
  </si>
  <si>
    <t>ставки по депозитам</t>
  </si>
  <si>
    <t>Темпы прироста СЧА ОПИФов</t>
  </si>
  <si>
    <t>доходнось</t>
  </si>
  <si>
    <t>Ставки по депозитам физических лиц от 1 года до 3 лет</t>
  </si>
  <si>
    <t>Доходность ОПИФов</t>
  </si>
  <si>
    <t>объем депозитов физ лиц в  рубляъ</t>
  </si>
  <si>
    <t>сча опифо</t>
  </si>
  <si>
    <t>III кв. 2019</t>
  </si>
  <si>
    <t>Гос. ЦБ, ЦБ субъектов РФ и муниципальные ЦБ</t>
  </si>
  <si>
    <t>IV кв. 2019</t>
  </si>
  <si>
    <t>Количество УК, осуществляющих Д.У. ПИФ, ед</t>
  </si>
  <si>
    <t>Квартальная динамика количества УК (пр. шкала), %</t>
  </si>
  <si>
    <t>Активы, трлн рублей</t>
  </si>
  <si>
    <t>Отношение активов к ВВП (пр. шкала), %</t>
  </si>
  <si>
    <t>График 2</t>
  </si>
  <si>
    <t>График 3</t>
  </si>
  <si>
    <t>График 4</t>
  </si>
  <si>
    <t>График 7</t>
  </si>
  <si>
    <t>График 8</t>
  </si>
  <si>
    <t>График 9</t>
  </si>
  <si>
    <t>I кв. 2020</t>
  </si>
  <si>
    <t>График 1</t>
  </si>
  <si>
    <t>Млрд рублей</t>
  </si>
  <si>
    <t>Источник: Банк России</t>
  </si>
  <si>
    <t>II кв. 2020</t>
  </si>
  <si>
    <t>Трлн рублей</t>
  </si>
  <si>
    <t>График 5</t>
  </si>
  <si>
    <t>График 11</t>
  </si>
  <si>
    <t>График 12</t>
  </si>
  <si>
    <t>III кв. 2020</t>
  </si>
  <si>
    <t>Russian Bonds</t>
  </si>
  <si>
    <t>Russian Stocks</t>
  </si>
  <si>
    <t>Balanced</t>
  </si>
  <si>
    <t>Foreign Bonds</t>
  </si>
  <si>
    <t>Foreign Stocks</t>
  </si>
  <si>
    <t>ETF</t>
  </si>
  <si>
    <t>Market Mix</t>
  </si>
  <si>
    <t>Структура совокупной СЧА ОПИФов и БПИФов</t>
  </si>
  <si>
    <t>IV кв. 2020</t>
  </si>
  <si>
    <t>График 10</t>
  </si>
  <si>
    <t>I кв. 2021</t>
  </si>
  <si>
    <t>Доходности ОПИФов и БПИФов (аннуализированная)</t>
  </si>
  <si>
    <t>II кв. 2021</t>
  </si>
  <si>
    <t>Динамика СЧА, объемов выдачи и погашения инвестиционных паев БПИФов (млрд руб.)</t>
  </si>
  <si>
    <t>Объем выдачи БПИФ за квартал</t>
  </si>
  <si>
    <t>Объем погашения БПИФ за квартал</t>
  </si>
  <si>
    <t xml:space="preserve">Прирост СЧА БПИФ за квартал </t>
  </si>
  <si>
    <t>III кв. 2021</t>
  </si>
  <si>
    <t>Ед.</t>
  </si>
  <si>
    <t xml:space="preserve">Нетто-приток/отток ИПИФ </t>
  </si>
  <si>
    <t xml:space="preserve">Нетто-приток/отток ЗПИФ </t>
  </si>
  <si>
    <t xml:space="preserve">Нетто-приток/отток ОПИФ </t>
  </si>
  <si>
    <t xml:space="preserve">Нетто-приток/отток БПИФ </t>
  </si>
  <si>
    <t>IV кв. 2021</t>
  </si>
  <si>
    <t>1ПГ2022</t>
  </si>
  <si>
    <t>Структура чистых притоков ОПИФов и БПИФов</t>
  </si>
  <si>
    <t>1ПГ2020</t>
  </si>
  <si>
    <t>1ПГ2021</t>
  </si>
  <si>
    <t>2ПГ2020</t>
  </si>
  <si>
    <t>2ПГ2022</t>
  </si>
  <si>
    <t xml:space="preserve">*Данные по ПИФам  содержат информацию только по тем фондам, отчетность по которым была сдана в Банк России в полном объеме. </t>
  </si>
  <si>
    <t>I кв. 2022</t>
  </si>
  <si>
    <t>II кв. 2022</t>
  </si>
  <si>
    <t>I кв. 2022*</t>
  </si>
  <si>
    <t>График6</t>
  </si>
  <si>
    <t>II кв. 2022*</t>
  </si>
  <si>
    <t>iI кв.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</si>
</sst>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(&quot;р.&quot;* #,##0.00_);_(&quot;р.&quot;* \(#,##0.00\);_(&quot;р.&quot;* &quot;-&quot;??_);_(@_)"/>
    <numFmt numFmtId="167" formatCode="_(* #,##0_);_(* \(#,##0\);_(* &quot;-&quot;_);_(@_)"/>
    <numFmt numFmtId="168" formatCode="_(* #,##0.00_);_(* \(#,##0.00\);_(* &quot;-&quot;??_);_(@_)"/>
    <numFmt numFmtId="169" formatCode="0.0"/>
    <numFmt numFmtId="170" formatCode="0.0%"/>
    <numFmt numFmtId="171" formatCode="#,##0.########"/>
    <numFmt numFmtId="172" formatCode="#,##0.000"/>
    <numFmt numFmtId="173" formatCode="_-* #,##0.0\ _₽_-;\-* #,##0.0\ _₽_-;_-* &quot;-&quot;??\ _₽_-;_-@_-"/>
    <numFmt numFmtId="174" formatCode="_-* #,##0.000\ _₽_-;\-* #,##0.000\ _₽_-;_-* &quot;-&quot;??\ _₽_-;_-@_-"/>
  </numFmts>
  <fonts count="9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b/>
      <sz val="8"/>
      <color rgb="FF00000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3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9"/>
      <color indexed="12"/>
      <name val="Tahom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8"/>
      <color theme="1"/>
      <name val="Verdana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 Cyr"/>
      <charset val="204"/>
    </font>
    <font>
      <sz val="10"/>
      <color indexed="8"/>
      <name val="Arial"/>
      <family val="2"/>
      <charset val="204"/>
    </font>
    <font>
      <sz val="9"/>
      <name val="Tahoma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color rgb="FFFFFFFF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ahoma"/>
      <family val="2"/>
    </font>
    <font>
      <sz val="11"/>
      <color theme="1"/>
      <name val="Times New Roman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Tahoma"/>
      <family val="2"/>
    </font>
    <font>
      <sz val="8"/>
      <color rgb="FFFF0000"/>
      <name val="Tahoma"/>
      <family val="2"/>
    </font>
    <font>
      <b/>
      <sz val="8"/>
      <color theme="1"/>
      <name val="Arial Narrow"/>
      <family val="2"/>
      <charset val="204"/>
    </font>
    <font>
      <sz val="8"/>
      <color rgb="FF000000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</font>
    <font>
      <sz val="6.15"/>
      <name val="Arial"/>
      <family val="2"/>
    </font>
    <font>
      <sz val="1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FD2E2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608BB4"/>
      </left>
      <right style="medium">
        <color rgb="FF608BB4"/>
      </right>
      <top style="medium">
        <color rgb="FF608BB4"/>
      </top>
      <bottom style="medium">
        <color rgb="FF608BB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AB5253"/>
      </left>
      <right style="thin">
        <color rgb="FFAB5253"/>
      </right>
      <top style="thin">
        <color rgb="FFAB5253"/>
      </top>
      <bottom style="thin">
        <color rgb="FFAB525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59">
    <xf numFmtId="0" fontId="0" fillId="0" borderId="0"/>
    <xf numFmtId="0" fontId="8" fillId="0" borderId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35" borderId="0" applyNumberFormat="0" applyBorder="0" applyAlignment="0" applyProtection="0"/>
    <xf numFmtId="0" fontId="23" fillId="35" borderId="0" applyNumberFormat="0" applyBorder="0" applyAlignment="0" applyProtection="0"/>
    <xf numFmtId="0" fontId="1" fillId="12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36" borderId="0" applyNumberFormat="0" applyBorder="0" applyAlignment="0" applyProtection="0"/>
    <xf numFmtId="0" fontId="23" fillId="36" borderId="0" applyNumberFormat="0" applyBorder="0" applyAlignment="0" applyProtection="0"/>
    <xf numFmtId="0" fontId="1" fillId="16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37" borderId="0" applyNumberFormat="0" applyBorder="0" applyAlignment="0" applyProtection="0"/>
    <xf numFmtId="0" fontId="23" fillId="37" borderId="0" applyNumberFormat="0" applyBorder="0" applyAlignment="0" applyProtection="0"/>
    <xf numFmtId="0" fontId="1" fillId="20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4" borderId="0" applyNumberFormat="0" applyBorder="0" applyAlignment="0" applyProtection="0"/>
    <xf numFmtId="0" fontId="23" fillId="39" borderId="0" applyNumberFormat="0" applyBorder="0" applyAlignment="0" applyProtection="0"/>
    <xf numFmtId="0" fontId="23" fillId="39" borderId="0" applyNumberFormat="0" applyBorder="0" applyAlignment="0" applyProtection="0"/>
    <xf numFmtId="0" fontId="1" fillId="28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1" fillId="32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13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3" fillId="42" borderId="0" applyNumberFormat="0" applyBorder="0" applyAlignment="0" applyProtection="0"/>
    <xf numFmtId="0" fontId="1" fillId="17" borderId="0" applyNumberFormat="0" applyBorder="0" applyAlignment="0" applyProtection="0"/>
    <xf numFmtId="0" fontId="23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" fillId="43" borderId="0" applyNumberFormat="0" applyBorder="0" applyAlignment="0" applyProtection="0"/>
    <xf numFmtId="0" fontId="23" fillId="43" borderId="0" applyNumberFormat="0" applyBorder="0" applyAlignment="0" applyProtection="0"/>
    <xf numFmtId="0" fontId="1" fillId="21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1" fillId="25" borderId="0" applyNumberFormat="0" applyBorder="0" applyAlignment="0" applyProtection="0"/>
    <xf numFmtId="0" fontId="23" fillId="38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" fillId="29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" fillId="33" borderId="0" applyNumberFormat="0" applyBorder="0" applyAlignment="0" applyProtection="0"/>
    <xf numFmtId="0" fontId="23" fillId="44" borderId="0" applyNumberFormat="0" applyBorder="0" applyAlignment="0" applyProtection="0"/>
    <xf numFmtId="0" fontId="24" fillId="45" borderId="0" applyNumberFormat="0" applyBorder="0" applyAlignment="0" applyProtection="0"/>
    <xf numFmtId="0" fontId="24" fillId="45" borderId="0" applyNumberFormat="0" applyBorder="0" applyAlignment="0" applyProtection="0"/>
    <xf numFmtId="0" fontId="22" fillId="14" borderId="0" applyNumberFormat="0" applyBorder="0" applyAlignment="0" applyProtection="0"/>
    <xf numFmtId="0" fontId="24" fillId="45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2" fillId="18" borderId="0" applyNumberFormat="0" applyBorder="0" applyAlignment="0" applyProtection="0"/>
    <xf numFmtId="0" fontId="24" fillId="42" borderId="0" applyNumberFormat="0" applyBorder="0" applyAlignment="0" applyProtection="0"/>
    <xf numFmtId="0" fontId="24" fillId="43" borderId="0" applyNumberFormat="0" applyBorder="0" applyAlignment="0" applyProtection="0"/>
    <xf numFmtId="0" fontId="24" fillId="43" borderId="0" applyNumberFormat="0" applyBorder="0" applyAlignment="0" applyProtection="0"/>
    <xf numFmtId="0" fontId="22" fillId="43" borderId="0" applyNumberFormat="0" applyBorder="0" applyAlignment="0" applyProtection="0"/>
    <xf numFmtId="0" fontId="24" fillId="43" borderId="0" applyNumberFormat="0" applyBorder="0" applyAlignment="0" applyProtection="0"/>
    <xf numFmtId="0" fontId="22" fillId="22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2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2" fillId="30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4" fillId="48" borderId="0" applyNumberFormat="0" applyBorder="0" applyAlignment="0" applyProtection="0"/>
    <xf numFmtId="0" fontId="22" fillId="48" borderId="0" applyNumberFormat="0" applyBorder="0" applyAlignment="0" applyProtection="0"/>
    <xf numFmtId="0" fontId="24" fillId="48" borderId="0" applyNumberFormat="0" applyBorder="0" applyAlignment="0" applyProtection="0"/>
    <xf numFmtId="0" fontId="22" fillId="34" borderId="0" applyNumberFormat="0" applyBorder="0" applyAlignment="0" applyProtection="0"/>
    <xf numFmtId="0" fontId="23" fillId="0" borderId="0"/>
    <xf numFmtId="0" fontId="25" fillId="0" borderId="0"/>
    <xf numFmtId="0" fontId="26" fillId="0" borderId="0"/>
    <xf numFmtId="0" fontId="24" fillId="49" borderId="0" applyNumberFormat="0" applyBorder="0" applyAlignment="0" applyProtection="0"/>
    <xf numFmtId="0" fontId="24" fillId="49" borderId="0" applyNumberFormat="0" applyBorder="0" applyAlignment="0" applyProtection="0"/>
    <xf numFmtId="0" fontId="22" fillId="11" borderId="0" applyNumberFormat="0" applyBorder="0" applyAlignment="0" applyProtection="0"/>
    <xf numFmtId="0" fontId="24" fillId="49" borderId="0" applyNumberFormat="0" applyBorder="0" applyAlignment="0" applyProtection="0"/>
    <xf numFmtId="0" fontId="24" fillId="50" borderId="0" applyNumberFormat="0" applyBorder="0" applyAlignment="0" applyProtection="0"/>
    <xf numFmtId="0" fontId="24" fillId="50" borderId="0" applyNumberFormat="0" applyBorder="0" applyAlignment="0" applyProtection="0"/>
    <xf numFmtId="0" fontId="22" fillId="15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1" borderId="0" applyNumberFormat="0" applyBorder="0" applyAlignment="0" applyProtection="0"/>
    <xf numFmtId="0" fontId="22" fillId="19" borderId="0" applyNumberFormat="0" applyBorder="0" applyAlignment="0" applyProtection="0"/>
    <xf numFmtId="0" fontId="24" fillId="51" borderId="0" applyNumberFormat="0" applyBorder="0" applyAlignment="0" applyProtection="0"/>
    <xf numFmtId="0" fontId="24" fillId="46" borderId="0" applyNumberFormat="0" applyBorder="0" applyAlignment="0" applyProtection="0"/>
    <xf numFmtId="0" fontId="24" fillId="46" borderId="0" applyNumberFormat="0" applyBorder="0" applyAlignment="0" applyProtection="0"/>
    <xf numFmtId="0" fontId="22" fillId="23" borderId="0" applyNumberFormat="0" applyBorder="0" applyAlignment="0" applyProtection="0"/>
    <xf numFmtId="0" fontId="24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47" borderId="0" applyNumberFormat="0" applyBorder="0" applyAlignment="0" applyProtection="0"/>
    <xf numFmtId="0" fontId="22" fillId="27" borderId="0" applyNumberFormat="0" applyBorder="0" applyAlignment="0" applyProtection="0"/>
    <xf numFmtId="0" fontId="24" fillId="47" borderId="0" applyNumberFormat="0" applyBorder="0" applyAlignment="0" applyProtection="0"/>
    <xf numFmtId="0" fontId="24" fillId="52" borderId="0" applyNumberFormat="0" applyBorder="0" applyAlignment="0" applyProtection="0"/>
    <xf numFmtId="0" fontId="24" fillId="52" borderId="0" applyNumberFormat="0" applyBorder="0" applyAlignment="0" applyProtection="0"/>
    <xf numFmtId="0" fontId="22" fillId="31" borderId="0" applyNumberFormat="0" applyBorder="0" applyAlignment="0" applyProtection="0"/>
    <xf numFmtId="0" fontId="24" fillId="52" borderId="0" applyNumberFormat="0" applyBorder="0" applyAlignment="0" applyProtection="0"/>
    <xf numFmtId="0" fontId="27" fillId="40" borderId="12" applyNumberFormat="0" applyAlignment="0" applyProtection="0"/>
    <xf numFmtId="0" fontId="27" fillId="40" borderId="12" applyNumberFormat="0" applyAlignment="0" applyProtection="0"/>
    <xf numFmtId="0" fontId="27" fillId="40" borderId="12" applyNumberFormat="0" applyAlignment="0" applyProtection="0"/>
    <xf numFmtId="0" fontId="16" fillId="7" borderId="6" applyNumberFormat="0" applyAlignment="0" applyProtection="0"/>
    <xf numFmtId="0" fontId="27" fillId="40" borderId="12" applyNumberFormat="0" applyAlignment="0" applyProtection="0"/>
    <xf numFmtId="0" fontId="28" fillId="53" borderId="13" applyNumberFormat="0" applyAlignment="0" applyProtection="0"/>
    <xf numFmtId="0" fontId="28" fillId="53" borderId="13" applyNumberFormat="0" applyAlignment="0" applyProtection="0"/>
    <xf numFmtId="0" fontId="28" fillId="53" borderId="13" applyNumberFormat="0" applyAlignment="0" applyProtection="0"/>
    <xf numFmtId="0" fontId="17" fillId="8" borderId="7" applyNumberFormat="0" applyAlignment="0" applyProtection="0"/>
    <xf numFmtId="0" fontId="28" fillId="53" borderId="13" applyNumberFormat="0" applyAlignment="0" applyProtection="0"/>
    <xf numFmtId="0" fontId="29" fillId="53" borderId="12" applyNumberFormat="0" applyAlignment="0" applyProtection="0"/>
    <xf numFmtId="0" fontId="29" fillId="53" borderId="12" applyNumberFormat="0" applyAlignment="0" applyProtection="0"/>
    <xf numFmtId="0" fontId="29" fillId="53" borderId="12" applyNumberFormat="0" applyAlignment="0" applyProtection="0"/>
    <xf numFmtId="0" fontId="18" fillId="8" borderId="6" applyNumberFormat="0" applyAlignment="0" applyProtection="0"/>
    <xf numFmtId="0" fontId="29" fillId="53" borderId="12" applyNumberFormat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66" fontId="8" fillId="0" borderId="0" applyFont="0" applyFill="0" applyBorder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1" fillId="0" borderId="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12" fillId="0" borderId="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2" fillId="0" borderId="11" applyNumberFormat="0" applyFill="0" applyAlignment="0" applyProtection="0"/>
    <xf numFmtId="0" fontId="34" fillId="0" borderId="17" applyNumberFormat="0" applyFill="0" applyAlignment="0" applyProtection="0"/>
    <xf numFmtId="0" fontId="35" fillId="54" borderId="18" applyNumberFormat="0" applyAlignment="0" applyProtection="0"/>
    <xf numFmtId="0" fontId="35" fillId="54" borderId="18" applyNumberFormat="0" applyAlignment="0" applyProtection="0"/>
    <xf numFmtId="0" fontId="20" fillId="9" borderId="9" applyNumberFormat="0" applyAlignment="0" applyProtection="0"/>
    <xf numFmtId="0" fontId="35" fillId="54" borderId="18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55" borderId="0" applyNumberFormat="0" applyBorder="0" applyAlignment="0" applyProtection="0"/>
    <xf numFmtId="0" fontId="37" fillId="55" borderId="0" applyNumberFormat="0" applyBorder="0" applyAlignment="0" applyProtection="0"/>
    <xf numFmtId="0" fontId="15" fillId="6" borderId="0" applyNumberFormat="0" applyBorder="0" applyAlignment="0" applyProtection="0"/>
    <xf numFmtId="0" fontId="37" fillId="55" borderId="0" applyNumberFormat="0" applyBorder="0" applyAlignment="0" applyProtection="0"/>
    <xf numFmtId="0" fontId="25" fillId="0" borderId="0"/>
    <xf numFmtId="0" fontId="38" fillId="0" borderId="0"/>
    <xf numFmtId="0" fontId="25" fillId="0" borderId="0"/>
    <xf numFmtId="0" fontId="39" fillId="0" borderId="0"/>
    <xf numFmtId="0" fontId="25" fillId="0" borderId="0">
      <alignment wrapText="1"/>
    </xf>
    <xf numFmtId="0" fontId="40" fillId="0" borderId="0"/>
    <xf numFmtId="0" fontId="25" fillId="0" borderId="0"/>
    <xf numFmtId="0" fontId="38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25" fillId="0" borderId="0"/>
    <xf numFmtId="0" fontId="38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38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1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2" fillId="0" borderId="0"/>
    <xf numFmtId="0" fontId="43" fillId="0" borderId="0"/>
    <xf numFmtId="0" fontId="43" fillId="0" borderId="0"/>
    <xf numFmtId="0" fontId="4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44" fillId="0" borderId="0" applyFill="0" applyProtection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0"/>
    <xf numFmtId="0" fontId="25" fillId="0" borderId="0"/>
    <xf numFmtId="0" fontId="25" fillId="0" borderId="0"/>
    <xf numFmtId="0" fontId="4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38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25" fillId="0" borderId="0"/>
    <xf numFmtId="0" fontId="44" fillId="0" borderId="0" applyFill="0" applyProtection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5" fillId="0" borderId="0"/>
    <xf numFmtId="0" fontId="44" fillId="0" borderId="0" applyFill="0" applyProtection="0"/>
    <xf numFmtId="0" fontId="39" fillId="0" borderId="0"/>
    <xf numFmtId="0" fontId="39" fillId="0" borderId="0"/>
    <xf numFmtId="0" fontId="26" fillId="0" borderId="0"/>
    <xf numFmtId="0" fontId="26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14" fillId="5" borderId="0" applyNumberFormat="0" applyBorder="0" applyAlignment="0" applyProtection="0"/>
    <xf numFmtId="0" fontId="46" fillId="36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5" fillId="56" borderId="19" applyNumberFormat="0" applyFont="0" applyAlignment="0" applyProtection="0"/>
    <xf numFmtId="0" fontId="8" fillId="56" borderId="19" applyNumberFormat="0" applyFont="0" applyAlignment="0" applyProtection="0"/>
    <xf numFmtId="0" fontId="23" fillId="10" borderId="10" applyNumberFormat="0" applyFont="0" applyAlignment="0" applyProtection="0"/>
    <xf numFmtId="0" fontId="8" fillId="56" borderId="19" applyNumberFormat="0" applyFont="0" applyAlignment="0" applyProtection="0"/>
    <xf numFmtId="0" fontId="23" fillId="10" borderId="10" applyNumberFormat="0" applyFont="0" applyAlignment="0" applyProtection="0"/>
    <xf numFmtId="0" fontId="1" fillId="10" borderId="10" applyNumberFormat="0" applyFont="0" applyAlignment="0" applyProtection="0"/>
    <xf numFmtId="0" fontId="8" fillId="56" borderId="19" applyNumberFormat="0" applyFont="0" applyAlignment="0" applyProtection="0"/>
    <xf numFmtId="0" fontId="23" fillId="56" borderId="19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19" fillId="0" borderId="8" applyNumberFormat="0" applyFill="0" applyAlignment="0" applyProtection="0"/>
    <xf numFmtId="0" fontId="49" fillId="0" borderId="20" applyNumberFormat="0" applyFill="0" applyAlignment="0" applyProtection="0"/>
    <xf numFmtId="0" fontId="50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48" fillId="0" borderId="0" applyFont="0" applyFill="0" applyBorder="0" applyAlignment="0" applyProtection="0"/>
    <xf numFmtId="0" fontId="52" fillId="37" borderId="0" applyNumberFormat="0" applyBorder="0" applyAlignment="0" applyProtection="0"/>
    <xf numFmtId="0" fontId="52" fillId="37" borderId="0" applyNumberFormat="0" applyBorder="0" applyAlignment="0" applyProtection="0"/>
    <xf numFmtId="0" fontId="13" fillId="4" borderId="0" applyNumberFormat="0" applyBorder="0" applyAlignment="0" applyProtection="0"/>
    <xf numFmtId="0" fontId="52" fillId="37" borderId="0" applyNumberFormat="0" applyBorder="0" applyAlignment="0" applyProtection="0"/>
    <xf numFmtId="164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2" fillId="0" borderId="0"/>
    <xf numFmtId="164" fontId="42" fillId="0" borderId="0" applyFont="0" applyFill="0" applyBorder="0" applyAlignment="0" applyProtection="0"/>
    <xf numFmtId="0" fontId="42" fillId="0" borderId="0"/>
    <xf numFmtId="9" fontId="1" fillId="0" borderId="0" applyFont="0" applyFill="0" applyBorder="0" applyAlignment="0" applyProtection="0"/>
    <xf numFmtId="0" fontId="57" fillId="0" borderId="0"/>
    <xf numFmtId="0" fontId="58" fillId="0" borderId="0"/>
    <xf numFmtId="9" fontId="58" fillId="0" borderId="0" applyFont="0" applyFill="0" applyBorder="0" applyAlignment="0" applyProtection="0"/>
    <xf numFmtId="0" fontId="61" fillId="0" borderId="0" applyNumberFormat="0" applyFill="0" applyBorder="0" applyAlignment="0" applyProtection="0"/>
    <xf numFmtId="9" fontId="57" fillId="0" borderId="0" applyFont="0" applyFill="0" applyBorder="0" applyAlignment="0" applyProtection="0"/>
    <xf numFmtId="164" fontId="57" fillId="0" borderId="0" applyFont="0" applyFill="0" applyBorder="0" applyAlignment="0" applyProtection="0"/>
    <xf numFmtId="0" fontId="8" fillId="0" borderId="0"/>
    <xf numFmtId="0" fontId="68" fillId="35" borderId="0" applyNumberFormat="0" applyBorder="0" applyAlignment="0" applyProtection="0"/>
    <xf numFmtId="0" fontId="68" fillId="36" borderId="0" applyNumberFormat="0" applyBorder="0" applyAlignment="0" applyProtection="0"/>
    <xf numFmtId="0" fontId="68" fillId="37" borderId="0" applyNumberFormat="0" applyBorder="0" applyAlignment="0" applyProtection="0"/>
    <xf numFmtId="0" fontId="68" fillId="38" borderId="0" applyNumberFormat="0" applyBorder="0" applyAlignment="0" applyProtection="0"/>
    <xf numFmtId="0" fontId="68" fillId="39" borderId="0" applyNumberFormat="0" applyBorder="0" applyAlignment="0" applyProtection="0"/>
    <xf numFmtId="0" fontId="68" fillId="40" borderId="0" applyNumberFormat="0" applyBorder="0" applyAlignment="0" applyProtection="0"/>
    <xf numFmtId="0" fontId="68" fillId="41" borderId="0" applyNumberFormat="0" applyBorder="0" applyAlignment="0" applyProtection="0"/>
    <xf numFmtId="0" fontId="68" fillId="42" borderId="0" applyNumberFormat="0" applyBorder="0" applyAlignment="0" applyProtection="0"/>
    <xf numFmtId="0" fontId="68" fillId="43" borderId="0" applyNumberFormat="0" applyBorder="0" applyAlignment="0" applyProtection="0"/>
    <xf numFmtId="0" fontId="68" fillId="38" borderId="0" applyNumberFormat="0" applyBorder="0" applyAlignment="0" applyProtection="0"/>
    <xf numFmtId="0" fontId="68" fillId="41" borderId="0" applyNumberFormat="0" applyBorder="0" applyAlignment="0" applyProtection="0"/>
    <xf numFmtId="0" fontId="68" fillId="44" borderId="0" applyNumberFormat="0" applyBorder="0" applyAlignment="0" applyProtection="0"/>
    <xf numFmtId="0" fontId="69" fillId="45" borderId="0" applyNumberFormat="0" applyBorder="0" applyAlignment="0" applyProtection="0"/>
    <xf numFmtId="0" fontId="69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48" borderId="0" applyNumberFormat="0" applyBorder="0" applyAlignment="0" applyProtection="0"/>
    <xf numFmtId="0" fontId="44" fillId="62" borderId="0">
      <alignment horizontal="right" vertical="center"/>
    </xf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52" borderId="0" applyNumberFormat="0" applyBorder="0" applyAlignment="0" applyProtection="0"/>
    <xf numFmtId="0" fontId="70" fillId="40" borderId="12" applyNumberFormat="0" applyAlignment="0" applyProtection="0"/>
    <xf numFmtId="0" fontId="71" fillId="53" borderId="13" applyNumberFormat="0" applyAlignment="0" applyProtection="0"/>
    <xf numFmtId="0" fontId="72" fillId="53" borderId="12" applyNumberFormat="0" applyAlignment="0" applyProtection="0"/>
    <xf numFmtId="0" fontId="73" fillId="0" borderId="14" applyNumberFormat="0" applyFill="0" applyAlignment="0" applyProtection="0"/>
    <xf numFmtId="0" fontId="74" fillId="0" borderId="15" applyNumberFormat="0" applyFill="0" applyAlignment="0" applyProtection="0"/>
    <xf numFmtId="0" fontId="75" fillId="0" borderId="16" applyNumberFormat="0" applyFill="0" applyAlignment="0" applyProtection="0"/>
    <xf numFmtId="0" fontId="75" fillId="0" borderId="0" applyNumberFormat="0" applyFill="0" applyBorder="0" applyAlignment="0" applyProtection="0"/>
    <xf numFmtId="0" fontId="76" fillId="0" borderId="17" applyNumberFormat="0" applyFill="0" applyAlignment="0" applyProtection="0"/>
    <xf numFmtId="0" fontId="77" fillId="54" borderId="18" applyNumberFormat="0" applyAlignment="0" applyProtection="0"/>
    <xf numFmtId="0" fontId="78" fillId="55" borderId="0" applyNumberFormat="0" applyBorder="0" applyAlignment="0" applyProtection="0"/>
    <xf numFmtId="0" fontId="84" fillId="0" borderId="0"/>
    <xf numFmtId="0" fontId="85" fillId="0" borderId="0">
      <alignment horizontal="left"/>
    </xf>
    <xf numFmtId="0" fontId="79" fillId="36" borderId="0" applyNumberFormat="0" applyBorder="0" applyAlignment="0" applyProtection="0"/>
    <xf numFmtId="0" fontId="80" fillId="0" borderId="0" applyNumberFormat="0" applyFill="0" applyBorder="0" applyAlignment="0" applyProtection="0"/>
    <xf numFmtId="0" fontId="81" fillId="0" borderId="20" applyNumberFormat="0" applyFill="0" applyAlignment="0" applyProtection="0"/>
    <xf numFmtId="0" fontId="67" fillId="0" borderId="0"/>
    <xf numFmtId="0" fontId="82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83" fillId="37" borderId="0" applyNumberFormat="0" applyBorder="0" applyAlignment="0" applyProtection="0"/>
    <xf numFmtId="0" fontId="57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7" fillId="0" borderId="0"/>
    <xf numFmtId="0" fontId="88" fillId="0" borderId="29" applyNumberFormat="0" applyFill="0" applyProtection="0">
      <alignment horizontal="left" vertical="top" wrapText="1"/>
    </xf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</cellStyleXfs>
  <cellXfs count="147">
    <xf numFmtId="0" fontId="0" fillId="0" borderId="0" xfId="0"/>
    <xf numFmtId="0" fontId="6" fillId="57" borderId="1" xfId="0" applyFont="1" applyFill="1" applyBorder="1" applyAlignment="1">
      <alignment horizontal="left" vertical="center" wrapText="1"/>
    </xf>
    <xf numFmtId="14" fontId="53" fillId="3" borderId="1" xfId="0" applyNumberFormat="1" applyFont="1" applyFill="1" applyBorder="1" applyAlignment="1">
      <alignment horizontal="center" vertical="center" wrapText="1" readingOrder="1"/>
    </xf>
    <xf numFmtId="170" fontId="0" fillId="0" borderId="0" xfId="392" applyNumberFormat="1" applyFont="1"/>
    <xf numFmtId="165" fontId="0" fillId="0" borderId="0" xfId="0" applyNumberFormat="1"/>
    <xf numFmtId="0" fontId="0" fillId="0" borderId="1" xfId="0" applyBorder="1"/>
    <xf numFmtId="170" fontId="0" fillId="0" borderId="1" xfId="392" applyNumberFormat="1" applyFont="1" applyBorder="1"/>
    <xf numFmtId="165" fontId="0" fillId="0" borderId="1" xfId="0" applyNumberFormat="1" applyBorder="1"/>
    <xf numFmtId="169" fontId="0" fillId="0" borderId="1" xfId="0" applyNumberFormat="1" applyBorder="1"/>
    <xf numFmtId="169" fontId="0" fillId="0" borderId="0" xfId="0" applyNumberFormat="1"/>
    <xf numFmtId="0" fontId="54" fillId="57" borderId="21" xfId="178" applyFont="1" applyFill="1" applyBorder="1" applyAlignment="1">
      <alignment horizontal="left" vertical="center" wrapText="1"/>
    </xf>
    <xf numFmtId="0" fontId="5" fillId="0" borderId="21" xfId="178" applyFont="1" applyBorder="1" applyAlignment="1">
      <alignment horizontal="left" vertical="center" wrapText="1"/>
    </xf>
    <xf numFmtId="165" fontId="5" fillId="0" borderId="1" xfId="178" applyNumberFormat="1" applyFont="1" applyFill="1" applyBorder="1" applyAlignment="1">
      <alignment horizontal="right" vertical="center" wrapText="1" indent="1"/>
    </xf>
    <xf numFmtId="165" fontId="6" fillId="2" borderId="1" xfId="178" applyNumberFormat="1" applyFont="1" applyFill="1" applyBorder="1" applyAlignment="1">
      <alignment horizontal="right" vertical="center" wrapText="1" indent="1"/>
    </xf>
    <xf numFmtId="0" fontId="5" fillId="0" borderId="1" xfId="178" applyFont="1" applyBorder="1" applyAlignment="1">
      <alignment horizontal="left" vertical="center" wrapText="1"/>
    </xf>
    <xf numFmtId="0" fontId="5" fillId="0" borderId="1" xfId="178" applyFont="1" applyBorder="1" applyAlignment="1">
      <alignment horizontal="center" vertical="center" wrapText="1"/>
    </xf>
    <xf numFmtId="0" fontId="54" fillId="57" borderId="23" xfId="178" applyFont="1" applyFill="1" applyBorder="1" applyAlignment="1">
      <alignment horizontal="left" vertical="center" wrapText="1"/>
    </xf>
    <xf numFmtId="0" fontId="5" fillId="0" borderId="23" xfId="178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5" fillId="58" borderId="23" xfId="178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169" fontId="3" fillId="0" borderId="1" xfId="0" applyNumberFormat="1" applyFont="1" applyBorder="1" applyAlignment="1">
      <alignment wrapText="1"/>
    </xf>
    <xf numFmtId="0" fontId="5" fillId="0" borderId="0" xfId="178" applyFont="1" applyBorder="1" applyAlignment="1">
      <alignment horizontal="left" vertical="center" wrapText="1"/>
    </xf>
    <xf numFmtId="165" fontId="6" fillId="2" borderId="0" xfId="178" applyNumberFormat="1" applyFont="1" applyFill="1" applyBorder="1" applyAlignment="1">
      <alignment horizontal="right" vertical="center" wrapText="1" indent="1"/>
    </xf>
    <xf numFmtId="0" fontId="7" fillId="57" borderId="21" xfId="178" applyFont="1" applyFill="1" applyBorder="1" applyAlignment="1">
      <alignment horizontal="left" vertical="center" wrapText="1"/>
    </xf>
    <xf numFmtId="0" fontId="59" fillId="0" borderId="0" xfId="0" applyFont="1"/>
    <xf numFmtId="0" fontId="60" fillId="0" borderId="0" xfId="0" applyFont="1"/>
    <xf numFmtId="0" fontId="4" fillId="0" borderId="0" xfId="0" applyFont="1"/>
    <xf numFmtId="165" fontId="5" fillId="58" borderId="1" xfId="178" applyNumberFormat="1" applyFont="1" applyFill="1" applyBorder="1" applyAlignment="1">
      <alignment horizontal="right" vertical="center" wrapText="1" indent="1"/>
    </xf>
    <xf numFmtId="165" fontId="6" fillId="58" borderId="1" xfId="178" applyNumberFormat="1" applyFont="1" applyFill="1" applyBorder="1" applyAlignment="1">
      <alignment horizontal="right" vertical="center" wrapText="1" indent="1"/>
    </xf>
    <xf numFmtId="0" fontId="0" fillId="0" borderId="0" xfId="0" applyBorder="1"/>
    <xf numFmtId="4" fontId="0" fillId="0" borderId="1" xfId="0" applyNumberFormat="1" applyBorder="1"/>
    <xf numFmtId="3" fontId="0" fillId="0" borderId="0" xfId="0" applyNumberFormat="1"/>
    <xf numFmtId="165" fontId="6" fillId="2" borderId="1" xfId="178" applyNumberFormat="1" applyFont="1" applyFill="1" applyBorder="1" applyAlignment="1">
      <alignment horizontal="center" vertical="center" wrapText="1"/>
    </xf>
    <xf numFmtId="165" fontId="5" fillId="2" borderId="1" xfId="178" applyNumberFormat="1" applyFont="1" applyFill="1" applyBorder="1" applyAlignment="1">
      <alignment horizontal="right" vertical="center" wrapText="1" indent="1"/>
    </xf>
    <xf numFmtId="165" fontId="0" fillId="0" borderId="0" xfId="0" applyNumberFormat="1" applyBorder="1"/>
    <xf numFmtId="0" fontId="61" fillId="0" borderId="0" xfId="396"/>
    <xf numFmtId="169" fontId="3" fillId="2" borderId="1" xfId="0" applyNumberFormat="1" applyFont="1" applyFill="1" applyBorder="1" applyAlignment="1">
      <alignment wrapText="1"/>
    </xf>
    <xf numFmtId="10" fontId="0" fillId="0" borderId="1" xfId="392" applyNumberFormat="1" applyFont="1" applyBorder="1"/>
    <xf numFmtId="0" fontId="62" fillId="60" borderId="24" xfId="393" applyFont="1" applyFill="1" applyBorder="1" applyAlignment="1">
      <alignment horizontal="center" vertical="top"/>
    </xf>
    <xf numFmtId="0" fontId="57" fillId="0" borderId="0" xfId="393"/>
    <xf numFmtId="0" fontId="62" fillId="0" borderId="25" xfId="393" applyFont="1" applyBorder="1" applyAlignment="1">
      <alignment vertical="top"/>
    </xf>
    <xf numFmtId="0" fontId="62" fillId="0" borderId="25" xfId="393" applyFont="1" applyBorder="1" applyAlignment="1">
      <alignment vertical="top" wrapText="1"/>
    </xf>
    <xf numFmtId="171" fontId="62" fillId="0" borderId="25" xfId="393" applyNumberFormat="1" applyFont="1" applyBorder="1" applyAlignment="1">
      <alignment vertical="top"/>
    </xf>
    <xf numFmtId="170" fontId="0" fillId="0" borderId="0" xfId="397" applyNumberFormat="1" applyFont="1"/>
    <xf numFmtId="171" fontId="62" fillId="0" borderId="25" xfId="393" applyNumberFormat="1" applyFont="1" applyBorder="1" applyAlignment="1">
      <alignment horizontal="right" vertical="top"/>
    </xf>
    <xf numFmtId="171" fontId="62" fillId="0" borderId="26" xfId="393" applyNumberFormat="1" applyFont="1" applyBorder="1" applyAlignment="1">
      <alignment horizontal="right" vertical="top"/>
    </xf>
    <xf numFmtId="170" fontId="57" fillId="0" borderId="0" xfId="393" applyNumberFormat="1"/>
    <xf numFmtId="0" fontId="63" fillId="0" borderId="25" xfId="393" applyFont="1" applyBorder="1" applyAlignment="1">
      <alignment vertical="top"/>
    </xf>
    <xf numFmtId="3" fontId="62" fillId="0" borderId="25" xfId="393" applyNumberFormat="1" applyFont="1" applyBorder="1" applyAlignment="1">
      <alignment horizontal="right" vertical="top"/>
    </xf>
    <xf numFmtId="0" fontId="62" fillId="0" borderId="26" xfId="393" applyFont="1" applyBorder="1" applyAlignment="1">
      <alignment vertical="top"/>
    </xf>
    <xf numFmtId="3" fontId="62" fillId="0" borderId="26" xfId="393" applyNumberFormat="1" applyFont="1" applyBorder="1" applyAlignment="1">
      <alignment horizontal="right" vertical="top"/>
    </xf>
    <xf numFmtId="171" fontId="57" fillId="0" borderId="0" xfId="393" applyNumberFormat="1"/>
    <xf numFmtId="4" fontId="62" fillId="0" borderId="0" xfId="393" applyNumberFormat="1" applyFont="1"/>
    <xf numFmtId="10" fontId="0" fillId="0" borderId="0" xfId="397" applyNumberFormat="1" applyFont="1"/>
    <xf numFmtId="172" fontId="57" fillId="0" borderId="0" xfId="393" applyNumberFormat="1"/>
    <xf numFmtId="0" fontId="57" fillId="0" borderId="0" xfId="393" applyAlignment="1">
      <alignment horizontal="right"/>
    </xf>
    <xf numFmtId="3" fontId="57" fillId="0" borderId="0" xfId="393" applyNumberFormat="1"/>
    <xf numFmtId="14" fontId="57" fillId="0" borderId="0" xfId="393" applyNumberFormat="1"/>
    <xf numFmtId="0" fontId="57" fillId="0" borderId="1" xfId="393" applyBorder="1"/>
    <xf numFmtId="171" fontId="62" fillId="0" borderId="26" xfId="393" applyNumberFormat="1" applyFont="1" applyBorder="1" applyAlignment="1">
      <alignment vertical="top"/>
    </xf>
    <xf numFmtId="165" fontId="64" fillId="61" borderId="28" xfId="178" applyNumberFormat="1" applyFont="1" applyFill="1" applyBorder="1" applyAlignment="1">
      <alignment horizontal="center" vertical="center" wrapText="1"/>
    </xf>
    <xf numFmtId="165" fontId="65" fillId="2" borderId="28" xfId="178" applyNumberFormat="1" applyFont="1" applyFill="1" applyBorder="1" applyAlignment="1">
      <alignment horizontal="center" vertical="center" wrapText="1"/>
    </xf>
    <xf numFmtId="165" fontId="66" fillId="61" borderId="28" xfId="178" applyNumberFormat="1" applyFont="1" applyFill="1" applyBorder="1" applyAlignment="1">
      <alignment horizontal="center" vertical="center" wrapText="1"/>
    </xf>
    <xf numFmtId="0" fontId="0" fillId="58" borderId="0" xfId="0" applyFill="1"/>
    <xf numFmtId="165" fontId="0" fillId="58" borderId="1" xfId="0" applyNumberFormat="1" applyFill="1" applyBorder="1"/>
    <xf numFmtId="170" fontId="0" fillId="58" borderId="0" xfId="392" applyNumberFormat="1" applyFont="1" applyFill="1"/>
    <xf numFmtId="169" fontId="0" fillId="58" borderId="0" xfId="0" applyNumberFormat="1" applyFill="1"/>
    <xf numFmtId="165" fontId="3" fillId="0" borderId="0" xfId="0" applyNumberFormat="1" applyFont="1" applyBorder="1" applyAlignment="1">
      <alignment wrapText="1"/>
    </xf>
    <xf numFmtId="0" fontId="5" fillId="0" borderId="23" xfId="0" applyFont="1" applyBorder="1" applyAlignment="1">
      <alignment horizontal="left" vertical="center" wrapText="1"/>
    </xf>
    <xf numFmtId="0" fontId="5" fillId="0" borderId="2" xfId="178" applyFont="1" applyBorder="1" applyAlignment="1">
      <alignment horizontal="left" vertical="center" wrapText="1"/>
    </xf>
    <xf numFmtId="1" fontId="0" fillId="0" borderId="0" xfId="0" applyNumberFormat="1"/>
    <xf numFmtId="0" fontId="64" fillId="61" borderId="28" xfId="178" applyFont="1" applyFill="1" applyBorder="1" applyAlignment="1">
      <alignment horizontal="left" vertical="center" wrapText="1"/>
    </xf>
    <xf numFmtId="0" fontId="64" fillId="61" borderId="28" xfId="178" applyFont="1" applyFill="1" applyBorder="1" applyAlignment="1">
      <alignment horizontal="center" vertical="center" wrapText="1"/>
    </xf>
    <xf numFmtId="0" fontId="65" fillId="58" borderId="28" xfId="178" applyFont="1" applyFill="1" applyBorder="1" applyAlignment="1">
      <alignment horizontal="left" vertical="center" wrapText="1"/>
    </xf>
    <xf numFmtId="0" fontId="65" fillId="0" borderId="28" xfId="178" applyFont="1" applyBorder="1" applyAlignment="1">
      <alignment horizontal="center" vertical="center" wrapText="1"/>
    </xf>
    <xf numFmtId="165" fontId="65" fillId="59" borderId="28" xfId="178" applyNumberFormat="1" applyFont="1" applyFill="1" applyBorder="1" applyAlignment="1">
      <alignment horizontal="center" vertical="center" wrapText="1"/>
    </xf>
    <xf numFmtId="0" fontId="65" fillId="0" borderId="28" xfId="178" applyFont="1" applyBorder="1" applyAlignment="1">
      <alignment horizontal="left" vertical="center" wrapText="1"/>
    </xf>
    <xf numFmtId="165" fontId="65" fillId="58" borderId="28" xfId="178" applyNumberFormat="1" applyFont="1" applyFill="1" applyBorder="1" applyAlignment="1">
      <alignment horizontal="center" vertical="center" wrapText="1"/>
    </xf>
    <xf numFmtId="0" fontId="66" fillId="61" borderId="28" xfId="178" applyFont="1" applyFill="1" applyBorder="1" applyAlignment="1">
      <alignment horizontal="left" vertical="center" wrapText="1"/>
    </xf>
    <xf numFmtId="0" fontId="66" fillId="61" borderId="28" xfId="178" applyFont="1" applyFill="1" applyBorder="1" applyAlignment="1">
      <alignment horizontal="center" vertical="center" wrapText="1"/>
    </xf>
    <xf numFmtId="9" fontId="0" fillId="0" borderId="0" xfId="392" applyFont="1"/>
    <xf numFmtId="0" fontId="0" fillId="0" borderId="0" xfId="0" applyFill="1"/>
    <xf numFmtId="0" fontId="0" fillId="0" borderId="1" xfId="0" applyFill="1" applyBorder="1"/>
    <xf numFmtId="165" fontId="5" fillId="63" borderId="1" xfId="178" applyNumberFormat="1" applyFont="1" applyFill="1" applyBorder="1" applyAlignment="1">
      <alignment horizontal="right" vertical="center" wrapText="1" indent="1"/>
    </xf>
    <xf numFmtId="0" fontId="5" fillId="0" borderId="1" xfId="178" applyFont="1" applyFill="1" applyBorder="1" applyAlignment="1">
      <alignment horizontal="left" vertical="center" wrapText="1"/>
    </xf>
    <xf numFmtId="0" fontId="6" fillId="57" borderId="22" xfId="178" applyFont="1" applyFill="1" applyBorder="1" applyAlignment="1">
      <alignment horizontal="left" vertical="center" wrapText="1"/>
    </xf>
    <xf numFmtId="0" fontId="6" fillId="57" borderId="1" xfId="178" applyFont="1" applyFill="1" applyBorder="1" applyAlignment="1">
      <alignment horizontal="center" vertical="center" wrapText="1"/>
    </xf>
    <xf numFmtId="0" fontId="0" fillId="0" borderId="0" xfId="0" applyFill="1" applyBorder="1"/>
    <xf numFmtId="0" fontId="90" fillId="0" borderId="0" xfId="178" applyFont="1" applyFill="1" applyBorder="1" applyAlignment="1">
      <alignment horizontal="left" vertical="center" wrapText="1"/>
    </xf>
    <xf numFmtId="0" fontId="90" fillId="0" borderId="0" xfId="178" applyFont="1" applyFill="1" applyBorder="1" applyAlignment="1">
      <alignment horizontal="center" vertical="center" wrapText="1"/>
    </xf>
    <xf numFmtId="165" fontId="90" fillId="0" borderId="0" xfId="178" applyNumberFormat="1" applyFont="1" applyFill="1" applyBorder="1" applyAlignment="1">
      <alignment horizontal="center" vertical="center" wrapText="1"/>
    </xf>
    <xf numFmtId="0" fontId="91" fillId="0" borderId="0" xfId="178" applyFont="1" applyFill="1" applyBorder="1" applyAlignment="1">
      <alignment horizontal="left" vertical="center" wrapText="1"/>
    </xf>
    <xf numFmtId="0" fontId="91" fillId="0" borderId="0" xfId="178" applyFont="1" applyFill="1" applyBorder="1" applyAlignment="1">
      <alignment horizontal="center" vertical="center" wrapText="1"/>
    </xf>
    <xf numFmtId="165" fontId="91" fillId="0" borderId="0" xfId="178" applyNumberFormat="1" applyFont="1" applyFill="1" applyBorder="1" applyAlignment="1">
      <alignment horizontal="center" vertical="center" wrapText="1"/>
    </xf>
    <xf numFmtId="169" fontId="0" fillId="58" borderId="1" xfId="0" applyNumberFormat="1" applyFill="1" applyBorder="1"/>
    <xf numFmtId="0" fontId="0" fillId="58" borderId="1" xfId="0" applyFill="1" applyBorder="1"/>
    <xf numFmtId="0" fontId="0" fillId="0" borderId="27" xfId="0" applyFill="1" applyBorder="1"/>
    <xf numFmtId="0" fontId="0" fillId="58" borderId="27" xfId="0" applyFill="1" applyBorder="1"/>
    <xf numFmtId="0" fontId="6" fillId="57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2" fillId="0" borderId="0" xfId="391"/>
    <xf numFmtId="173" fontId="0" fillId="0" borderId="0" xfId="456" applyNumberFormat="1" applyFont="1"/>
    <xf numFmtId="0" fontId="42" fillId="58" borderId="0" xfId="391" applyFill="1"/>
    <xf numFmtId="0" fontId="42" fillId="64" borderId="0" xfId="391" applyFill="1"/>
    <xf numFmtId="169" fontId="42" fillId="0" borderId="0" xfId="391" applyNumberFormat="1"/>
    <xf numFmtId="9" fontId="0" fillId="0" borderId="0" xfId="388" applyFont="1"/>
    <xf numFmtId="14" fontId="42" fillId="58" borderId="0" xfId="391" applyNumberFormat="1" applyFill="1"/>
    <xf numFmtId="9" fontId="0" fillId="58" borderId="0" xfId="388" applyFont="1" applyFill="1"/>
    <xf numFmtId="0" fontId="42" fillId="0" borderId="0" xfId="391" applyFill="1"/>
    <xf numFmtId="169" fontId="42" fillId="0" borderId="0" xfId="391" applyNumberFormat="1" applyFill="1"/>
    <xf numFmtId="9" fontId="0" fillId="0" borderId="0" xfId="388" applyFont="1" applyFill="1"/>
    <xf numFmtId="169" fontId="42" fillId="58" borderId="0" xfId="391" applyNumberFormat="1" applyFill="1"/>
    <xf numFmtId="173" fontId="0" fillId="58" borderId="0" xfId="456" applyNumberFormat="1" applyFont="1" applyFill="1"/>
    <xf numFmtId="14" fontId="42" fillId="0" borderId="0" xfId="391" applyNumberFormat="1"/>
    <xf numFmtId="4" fontId="42" fillId="0" borderId="0" xfId="391" applyNumberFormat="1"/>
    <xf numFmtId="165" fontId="42" fillId="0" borderId="0" xfId="391" applyNumberFormat="1"/>
    <xf numFmtId="170" fontId="0" fillId="0" borderId="0" xfId="388" applyNumberFormat="1" applyFont="1"/>
    <xf numFmtId="170" fontId="42" fillId="0" borderId="0" xfId="391" applyNumberFormat="1"/>
    <xf numFmtId="0" fontId="42" fillId="0" borderId="0" xfId="391" applyNumberFormat="1"/>
    <xf numFmtId="10" fontId="42" fillId="0" borderId="0" xfId="391" applyNumberFormat="1"/>
    <xf numFmtId="9" fontId="42" fillId="0" borderId="0" xfId="391" applyNumberFormat="1"/>
    <xf numFmtId="0" fontId="0" fillId="65" borderId="0" xfId="0" applyFill="1"/>
    <xf numFmtId="0" fontId="0" fillId="0" borderId="0" xfId="0" applyNumberFormat="1"/>
    <xf numFmtId="0" fontId="89" fillId="0" borderId="0" xfId="0" applyFont="1" applyFill="1"/>
    <xf numFmtId="0" fontId="89" fillId="0" borderId="0" xfId="0" applyFont="1" applyFill="1" applyBorder="1"/>
    <xf numFmtId="1" fontId="89" fillId="0" borderId="0" xfId="0" applyNumberFormat="1" applyFont="1" applyFill="1"/>
    <xf numFmtId="1" fontId="0" fillId="0" borderId="0" xfId="0" applyNumberFormat="1" applyFill="1"/>
    <xf numFmtId="9" fontId="0" fillId="0" borderId="0" xfId="0" applyNumberFormat="1" applyFill="1"/>
    <xf numFmtId="0" fontId="92" fillId="0" borderId="0" xfId="0" applyFont="1"/>
    <xf numFmtId="169" fontId="89" fillId="0" borderId="0" xfId="0" applyNumberFormat="1" applyFont="1" applyFill="1"/>
    <xf numFmtId="169" fontId="89" fillId="0" borderId="0" xfId="0" applyNumberFormat="1" applyFont="1" applyFill="1" applyBorder="1"/>
    <xf numFmtId="9" fontId="0" fillId="0" borderId="0" xfId="392" applyNumberFormat="1" applyFont="1"/>
    <xf numFmtId="43" fontId="0" fillId="0" borderId="0" xfId="457" applyFont="1"/>
    <xf numFmtId="174" fontId="0" fillId="0" borderId="0" xfId="457" applyNumberFormat="1" applyFont="1"/>
    <xf numFmtId="43" fontId="0" fillId="0" borderId="0" xfId="0" applyNumberFormat="1"/>
    <xf numFmtId="4" fontId="0" fillId="0" borderId="0" xfId="0" applyNumberFormat="1"/>
    <xf numFmtId="173" fontId="0" fillId="0" borderId="0" xfId="457" applyNumberFormat="1" applyFont="1"/>
    <xf numFmtId="2" fontId="0" fillId="0" borderId="0" xfId="0" applyNumberFormat="1"/>
    <xf numFmtId="2" fontId="0" fillId="0" borderId="0" xfId="0" applyNumberFormat="1" applyFill="1"/>
    <xf numFmtId="169" fontId="0" fillId="0" borderId="0" xfId="0" applyNumberFormat="1" applyFill="1"/>
    <xf numFmtId="9" fontId="0" fillId="0" borderId="0" xfId="392" applyFont="1" applyFill="1"/>
    <xf numFmtId="43" fontId="0" fillId="0" borderId="0" xfId="457" applyFont="1" applyFill="1"/>
    <xf numFmtId="1" fontId="0" fillId="0" borderId="0" xfId="457" applyNumberFormat="1" applyFont="1" applyFill="1"/>
    <xf numFmtId="43" fontId="0" fillId="0" borderId="0" xfId="0" applyNumberFormat="1" applyFill="1"/>
    <xf numFmtId="14" fontId="0" fillId="0" borderId="0" xfId="0" applyNumberFormat="1"/>
  </cellXfs>
  <cellStyles count="459">
    <cellStyle name="20% - Акцент1 2" xfId="2"/>
    <cellStyle name="20% - Акцент1 2 2" xfId="400"/>
    <cellStyle name="20% - Акцент1 3" xfId="3"/>
    <cellStyle name="20% - Акцент1 3 2" xfId="4"/>
    <cellStyle name="20% - Акцент1 4" xfId="5"/>
    <cellStyle name="20% - Акцент1 5" xfId="6"/>
    <cellStyle name="20% - Акцент2 2" xfId="7"/>
    <cellStyle name="20% - Акцент2 2 2" xfId="401"/>
    <cellStyle name="20% - Акцент2 3" xfId="8"/>
    <cellStyle name="20% - Акцент2 3 2" xfId="9"/>
    <cellStyle name="20% - Акцент2 4" xfId="10"/>
    <cellStyle name="20% - Акцент2 5" xfId="11"/>
    <cellStyle name="20% - Акцент3 2" xfId="12"/>
    <cellStyle name="20% - Акцент3 2 2" xfId="402"/>
    <cellStyle name="20% - Акцент3 3" xfId="13"/>
    <cellStyle name="20% - Акцент3 3 2" xfId="14"/>
    <cellStyle name="20% - Акцент3 4" xfId="15"/>
    <cellStyle name="20% - Акцент3 5" xfId="16"/>
    <cellStyle name="20% - Акцент4 2" xfId="17"/>
    <cellStyle name="20% - Акцент4 2 2" xfId="403"/>
    <cellStyle name="20% - Акцент4 3" xfId="18"/>
    <cellStyle name="20% - Акцент4 3 2" xfId="19"/>
    <cellStyle name="20% - Акцент4 4" xfId="20"/>
    <cellStyle name="20% - Акцент4 5" xfId="21"/>
    <cellStyle name="20% - Акцент5 2" xfId="22"/>
    <cellStyle name="20% - Акцент5 2 2" xfId="404"/>
    <cellStyle name="20% - Акцент5 3" xfId="23"/>
    <cellStyle name="20% - Акцент5 3 2" xfId="24"/>
    <cellStyle name="20% - Акцент5 4" xfId="25"/>
    <cellStyle name="20% - Акцент6 2" xfId="26"/>
    <cellStyle name="20% - Акцент6 2 2" xfId="405"/>
    <cellStyle name="20% - Акцент6 3" xfId="27"/>
    <cellStyle name="20% - Акцент6 3 2" xfId="28"/>
    <cellStyle name="20% - Акцент6 4" xfId="29"/>
    <cellStyle name="40% - Акцент1 2" xfId="30"/>
    <cellStyle name="40% - Акцент1 2 2" xfId="406"/>
    <cellStyle name="40% - Акцент1 3" xfId="31"/>
    <cellStyle name="40% - Акцент1 3 2" xfId="32"/>
    <cellStyle name="40% - Акцент1 4" xfId="33"/>
    <cellStyle name="40% - Акцент2 2" xfId="34"/>
    <cellStyle name="40% - Акцент2 2 2" xfId="407"/>
    <cellStyle name="40% - Акцент2 3" xfId="35"/>
    <cellStyle name="40% - Акцент2 3 2" xfId="36"/>
    <cellStyle name="40% - Акцент2 4" xfId="37"/>
    <cellStyle name="40% - Акцент3 2" xfId="38"/>
    <cellStyle name="40% - Акцент3 2 2" xfId="408"/>
    <cellStyle name="40% - Акцент3 3" xfId="39"/>
    <cellStyle name="40% - Акцент3 3 2" xfId="40"/>
    <cellStyle name="40% - Акцент3 4" xfId="41"/>
    <cellStyle name="40% - Акцент3 5" xfId="42"/>
    <cellStyle name="40% - Акцент4 2" xfId="43"/>
    <cellStyle name="40% - Акцент4 2 2" xfId="409"/>
    <cellStyle name="40% - Акцент4 3" xfId="44"/>
    <cellStyle name="40% - Акцент4 3 2" xfId="45"/>
    <cellStyle name="40% - Акцент4 4" xfId="46"/>
    <cellStyle name="40% - Акцент5 2" xfId="47"/>
    <cellStyle name="40% - Акцент5 2 2" xfId="410"/>
    <cellStyle name="40% - Акцент5 3" xfId="48"/>
    <cellStyle name="40% - Акцент5 3 2" xfId="49"/>
    <cellStyle name="40% - Акцент5 4" xfId="50"/>
    <cellStyle name="40% - Акцент6 2" xfId="51"/>
    <cellStyle name="40% - Акцент6 2 2" xfId="411"/>
    <cellStyle name="40% - Акцент6 3" xfId="52"/>
    <cellStyle name="40% - Акцент6 3 2" xfId="53"/>
    <cellStyle name="40% - Акцент6 4" xfId="54"/>
    <cellStyle name="60% - Акцент1 2" xfId="55"/>
    <cellStyle name="60% - Акцент1 2 2" xfId="412"/>
    <cellStyle name="60% - Акцент1 3" xfId="56"/>
    <cellStyle name="60% - Акцент1 3 2" xfId="57"/>
    <cellStyle name="60% - Акцент1 4" xfId="58"/>
    <cellStyle name="60% - Акцент2 2" xfId="59"/>
    <cellStyle name="60% - Акцент2 2 2" xfId="413"/>
    <cellStyle name="60% - Акцент2 3" xfId="60"/>
    <cellStyle name="60% - Акцент2 3 2" xfId="61"/>
    <cellStyle name="60% - Акцент2 4" xfId="62"/>
    <cellStyle name="60% - Акцент3 2" xfId="63"/>
    <cellStyle name="60% - Акцент3 2 2" xfId="414"/>
    <cellStyle name="60% - Акцент3 3" xfId="64"/>
    <cellStyle name="60% - Акцент3 3 2" xfId="65"/>
    <cellStyle name="60% - Акцент3 4" xfId="66"/>
    <cellStyle name="60% - Акцент3 5" xfId="67"/>
    <cellStyle name="60% - Акцент4 2" xfId="68"/>
    <cellStyle name="60% - Акцент4 2 2" xfId="415"/>
    <cellStyle name="60% - Акцент4 3" xfId="69"/>
    <cellStyle name="60% - Акцент4 3 2" xfId="70"/>
    <cellStyle name="60% - Акцент4 4" xfId="71"/>
    <cellStyle name="60% - Акцент4 5" xfId="72"/>
    <cellStyle name="60% - Акцент5 2" xfId="73"/>
    <cellStyle name="60% - Акцент5 2 2" xfId="416"/>
    <cellStyle name="60% - Акцент5 3" xfId="74"/>
    <cellStyle name="60% - Акцент5 3 2" xfId="75"/>
    <cellStyle name="60% - Акцент5 4" xfId="76"/>
    <cellStyle name="60% - Акцент6 2" xfId="77"/>
    <cellStyle name="60% - Акцент6 2 2" xfId="417"/>
    <cellStyle name="60% - Акцент6 3" xfId="78"/>
    <cellStyle name="60% - Акцент6 3 2" xfId="79"/>
    <cellStyle name="60% - Акцент6 4" xfId="80"/>
    <cellStyle name="60% - Акцент6 5" xfId="81"/>
    <cellStyle name="Excel Built-in Normal" xfId="82"/>
    <cellStyle name="m49048872" xfId="455"/>
    <cellStyle name="Normal_Claims" xfId="83"/>
    <cellStyle name="S5" xfId="418"/>
    <cellStyle name="TableStyleLight1" xfId="84"/>
    <cellStyle name="Акцент1 2" xfId="85"/>
    <cellStyle name="Акцент1 2 2" xfId="419"/>
    <cellStyle name="Акцент1 3" xfId="86"/>
    <cellStyle name="Акцент1 3 2" xfId="87"/>
    <cellStyle name="Акцент1 4" xfId="88"/>
    <cellStyle name="Акцент2 2" xfId="89"/>
    <cellStyle name="Акцент2 2 2" xfId="420"/>
    <cellStyle name="Акцент2 3" xfId="90"/>
    <cellStyle name="Акцент2 3 2" xfId="91"/>
    <cellStyle name="Акцент2 4" xfId="92"/>
    <cellStyle name="Акцент3 2" xfId="93"/>
    <cellStyle name="Акцент3 2 2" xfId="421"/>
    <cellStyle name="Акцент3 3" xfId="94"/>
    <cellStyle name="Акцент3 3 2" xfId="95"/>
    <cellStyle name="Акцент3 4" xfId="96"/>
    <cellStyle name="Акцент4 2" xfId="97"/>
    <cellStyle name="Акцент4 2 2" xfId="422"/>
    <cellStyle name="Акцент4 3" xfId="98"/>
    <cellStyle name="Акцент4 3 2" xfId="99"/>
    <cellStyle name="Акцент4 4" xfId="100"/>
    <cellStyle name="Акцент5 2" xfId="101"/>
    <cellStyle name="Акцент5 2 2" xfId="423"/>
    <cellStyle name="Акцент5 3" xfId="102"/>
    <cellStyle name="Акцент5 3 2" xfId="103"/>
    <cellStyle name="Акцент5 4" xfId="104"/>
    <cellStyle name="Акцент6 2" xfId="105"/>
    <cellStyle name="Акцент6 2 2" xfId="424"/>
    <cellStyle name="Акцент6 3" xfId="106"/>
    <cellStyle name="Акцент6 3 2" xfId="107"/>
    <cellStyle name="Акцент6 4" xfId="108"/>
    <cellStyle name="Ввод  2" xfId="109"/>
    <cellStyle name="Ввод  2 2" xfId="110"/>
    <cellStyle name="Ввод  2 3" xfId="425"/>
    <cellStyle name="Ввод  3" xfId="111"/>
    <cellStyle name="Ввод  3 2" xfId="112"/>
    <cellStyle name="Ввод  4" xfId="113"/>
    <cellStyle name="Вывод 2" xfId="114"/>
    <cellStyle name="Вывод 2 2" xfId="115"/>
    <cellStyle name="Вывод 2 3" xfId="426"/>
    <cellStyle name="Вывод 3" xfId="116"/>
    <cellStyle name="Вывод 3 2" xfId="117"/>
    <cellStyle name="Вывод 4" xfId="118"/>
    <cellStyle name="Вычисление 2" xfId="119"/>
    <cellStyle name="Вычисление 2 2" xfId="120"/>
    <cellStyle name="Вычисление 2 3" xfId="427"/>
    <cellStyle name="Вычисление 3" xfId="121"/>
    <cellStyle name="Вычисление 3 2" xfId="122"/>
    <cellStyle name="Вычисление 4" xfId="123"/>
    <cellStyle name="Гиперссылка" xfId="396" builtinId="8"/>
    <cellStyle name="Гиперссылка 2" xfId="124"/>
    <cellStyle name="Денежный 2" xfId="125"/>
    <cellStyle name="Заголовок 1 2" xfId="126"/>
    <cellStyle name="Заголовок 1 2 2" xfId="428"/>
    <cellStyle name="Заголовок 1 3" xfId="127"/>
    <cellStyle name="Заголовок 1 3 2" xfId="128"/>
    <cellStyle name="Заголовок 1 4" xfId="129"/>
    <cellStyle name="Заголовок 2 2" xfId="130"/>
    <cellStyle name="Заголовок 2 2 2" xfId="429"/>
    <cellStyle name="Заголовок 2 3" xfId="131"/>
    <cellStyle name="Заголовок 2 3 2" xfId="132"/>
    <cellStyle name="Заголовок 2 4" xfId="133"/>
    <cellStyle name="Заголовок 3 2" xfId="134"/>
    <cellStyle name="Заголовок 3 2 2" xfId="430"/>
    <cellStyle name="Заголовок 3 3" xfId="135"/>
    <cellStyle name="Заголовок 3 3 2" xfId="136"/>
    <cellStyle name="Заголовок 3 4" xfId="137"/>
    <cellStyle name="Заголовок 4 2" xfId="138"/>
    <cellStyle name="Заголовок 4 2 2" xfId="431"/>
    <cellStyle name="Заголовок 4 3" xfId="139"/>
    <cellStyle name="Заголовок 4 3 2" xfId="140"/>
    <cellStyle name="Заголовок 4 4" xfId="141"/>
    <cellStyle name="Итог 2" xfId="142"/>
    <cellStyle name="Итог 2 2" xfId="143"/>
    <cellStyle name="Итог 2 3" xfId="432"/>
    <cellStyle name="Итог 3" xfId="144"/>
    <cellStyle name="Итог 3 2" xfId="145"/>
    <cellStyle name="Итог 4" xfId="146"/>
    <cellStyle name="Контрольная ячейка 2" xfId="147"/>
    <cellStyle name="Контрольная ячейка 2 2" xfId="433"/>
    <cellStyle name="Контрольная ячейка 3" xfId="148"/>
    <cellStyle name="Контрольная ячейка 3 2" xfId="149"/>
    <cellStyle name="Контрольная ячейка 4" xfId="150"/>
    <cellStyle name="Название 2" xfId="151"/>
    <cellStyle name="Название 3" xfId="152"/>
    <cellStyle name="Название 3 2" xfId="153"/>
    <cellStyle name="Название 4" xfId="154"/>
    <cellStyle name="Нейтральный 2" xfId="155"/>
    <cellStyle name="Нейтральный 2 2" xfId="434"/>
    <cellStyle name="Нейтральный 3" xfId="156"/>
    <cellStyle name="Нейтральный 3 2" xfId="157"/>
    <cellStyle name="Нейтральный 4" xfId="158"/>
    <cellStyle name="Обычный" xfId="0" builtinId="0"/>
    <cellStyle name="Обычный 10" xfId="159"/>
    <cellStyle name="Обычный 10 2" xfId="160"/>
    <cellStyle name="Обычный 10 2 2" xfId="446"/>
    <cellStyle name="Обычный 10 2 3" xfId="445"/>
    <cellStyle name="Обычный 10 3" xfId="161"/>
    <cellStyle name="Обычный 10 3 2" xfId="447"/>
    <cellStyle name="Обычный 100" xfId="162"/>
    <cellStyle name="Обычный 101" xfId="163"/>
    <cellStyle name="Обычный 102" xfId="164"/>
    <cellStyle name="Обычный 103" xfId="165"/>
    <cellStyle name="Обычный 104" xfId="166"/>
    <cellStyle name="Обычный 105" xfId="167"/>
    <cellStyle name="Обычный 106" xfId="168"/>
    <cellStyle name="Обычный 107" xfId="169"/>
    <cellStyle name="Обычный 107 2" xfId="170"/>
    <cellStyle name="Обычный 108" xfId="171"/>
    <cellStyle name="Обычный 109" xfId="172"/>
    <cellStyle name="Обычный 11" xfId="173"/>
    <cellStyle name="Обычный 11 2" xfId="174"/>
    <cellStyle name="Обычный 11 3" xfId="399"/>
    <cellStyle name="Обычный 110" xfId="175"/>
    <cellStyle name="Обычный 111" xfId="176"/>
    <cellStyle name="Обычный 112" xfId="177"/>
    <cellStyle name="Обычный 113" xfId="393"/>
    <cellStyle name="Обычный 114" xfId="394"/>
    <cellStyle name="Обычный 12" xfId="178"/>
    <cellStyle name="Обычный 12 2" xfId="179"/>
    <cellStyle name="Обычный 12 2 2" xfId="448"/>
    <cellStyle name="Обычный 12 3" xfId="180"/>
    <cellStyle name="Обычный 12 4" xfId="181"/>
    <cellStyle name="Обычный 12 4 2" xfId="182"/>
    <cellStyle name="Обычный 12 4 3" xfId="183"/>
    <cellStyle name="Обычный 12 4 4" xfId="184"/>
    <cellStyle name="Обычный 12 4 4 2" xfId="185"/>
    <cellStyle name="Обычный 12 4 4 2 2" xfId="186"/>
    <cellStyle name="Обычный 12 4 4 2 3" xfId="187"/>
    <cellStyle name="Обычный 12 4 4 2 4" xfId="188"/>
    <cellStyle name="Обычный 12 4 4 2 5" xfId="189"/>
    <cellStyle name="Обычный 12 4 4 2 5 2" xfId="190"/>
    <cellStyle name="Обычный 12 4 4 3" xfId="191"/>
    <cellStyle name="Обычный 12 4 4 4" xfId="192"/>
    <cellStyle name="Обычный 12 4 4 5" xfId="193"/>
    <cellStyle name="Обычный 12 4 4 6" xfId="194"/>
    <cellStyle name="Обычный 12 4 4 7" xfId="195"/>
    <cellStyle name="Обычный 12 5" xfId="196"/>
    <cellStyle name="Обычный 13" xfId="197"/>
    <cellStyle name="Обычный 13 2" xfId="198"/>
    <cellStyle name="Обычный 13 3" xfId="449"/>
    <cellStyle name="Обычный 14" xfId="199"/>
    <cellStyle name="Обычный 14 2" xfId="450"/>
    <cellStyle name="Обычный 15" xfId="200"/>
    <cellStyle name="Обычный 16" xfId="201"/>
    <cellStyle name="Обычный 17" xfId="202"/>
    <cellStyle name="Обычный 18" xfId="203"/>
    <cellStyle name="Обычный 19" xfId="204"/>
    <cellStyle name="Обычный 2" xfId="1"/>
    <cellStyle name="Обычный 2 2" xfId="205"/>
    <cellStyle name="Обычный 2 2 2" xfId="206"/>
    <cellStyle name="Обычный 2 2 3" xfId="207"/>
    <cellStyle name="Обычный 2 3" xfId="208"/>
    <cellStyle name="Обычный 2 4" xfId="209"/>
    <cellStyle name="Обычный 2 4 3 2 2" xfId="391"/>
    <cellStyle name="Обычный 2 5" xfId="210"/>
    <cellStyle name="Обычный 2 5 2" xfId="211"/>
    <cellStyle name="Обычный 2 6" xfId="212"/>
    <cellStyle name="Обычный 2 7" xfId="213"/>
    <cellStyle name="Обычный 2 8" xfId="389"/>
    <cellStyle name="Обычный 20" xfId="214"/>
    <cellStyle name="Обычный 21" xfId="215"/>
    <cellStyle name="Обычный 22" xfId="216"/>
    <cellStyle name="Обычный 23" xfId="217"/>
    <cellStyle name="Обычный 24" xfId="218"/>
    <cellStyle name="Обычный 25" xfId="219"/>
    <cellStyle name="Обычный 26" xfId="220"/>
    <cellStyle name="Обычный 27" xfId="221"/>
    <cellStyle name="Обычный 28" xfId="222"/>
    <cellStyle name="Обычный 29" xfId="223"/>
    <cellStyle name="Обычный 3" xfId="224"/>
    <cellStyle name="Обычный 3 2" xfId="225"/>
    <cellStyle name="Обычный 3 2 2" xfId="226"/>
    <cellStyle name="Обычный 3 3" xfId="227"/>
    <cellStyle name="Обычный 3 4" xfId="228"/>
    <cellStyle name="Обычный 3 5" xfId="229"/>
    <cellStyle name="Обычный 30" xfId="230"/>
    <cellStyle name="Обычный 31" xfId="231"/>
    <cellStyle name="Обычный 32" xfId="232"/>
    <cellStyle name="Обычный 33" xfId="233"/>
    <cellStyle name="Обычный 34" xfId="234"/>
    <cellStyle name="Обычный 35" xfId="235"/>
    <cellStyle name="Обычный 36" xfId="236"/>
    <cellStyle name="Обычный 37" xfId="237"/>
    <cellStyle name="Обычный 38" xfId="238"/>
    <cellStyle name="Обычный 39" xfId="239"/>
    <cellStyle name="Обычный 4" xfId="240"/>
    <cellStyle name="Обычный 4 2" xfId="241"/>
    <cellStyle name="Обычный 4 3" xfId="242"/>
    <cellStyle name="Обычный 4 4" xfId="243"/>
    <cellStyle name="Обычный 4 5" xfId="244"/>
    <cellStyle name="Обычный 4 6" xfId="245"/>
    <cellStyle name="Обычный 4 7" xfId="246"/>
    <cellStyle name="Обычный 4_апрель 2013-..." xfId="247"/>
    <cellStyle name="Обычный 40" xfId="248"/>
    <cellStyle name="Обычный 41" xfId="249"/>
    <cellStyle name="Обычный 42" xfId="250"/>
    <cellStyle name="Обычный 43" xfId="251"/>
    <cellStyle name="Обычный 44" xfId="252"/>
    <cellStyle name="Обычный 45" xfId="253"/>
    <cellStyle name="Обычный 46" xfId="254"/>
    <cellStyle name="Обычный 47" xfId="255"/>
    <cellStyle name="Обычный 48" xfId="256"/>
    <cellStyle name="Обычный 49" xfId="257"/>
    <cellStyle name="Обычный 5" xfId="258"/>
    <cellStyle name="Обычный 5 2" xfId="259"/>
    <cellStyle name="Обычный 5 3" xfId="435"/>
    <cellStyle name="Обычный 50" xfId="260"/>
    <cellStyle name="Обычный 51" xfId="261"/>
    <cellStyle name="Обычный 52" xfId="262"/>
    <cellStyle name="Обычный 53" xfId="263"/>
    <cellStyle name="Обычный 54" xfId="264"/>
    <cellStyle name="Обычный 54 2" xfId="265"/>
    <cellStyle name="Обычный 55" xfId="266"/>
    <cellStyle name="Обычный 56" xfId="267"/>
    <cellStyle name="Обычный 57" xfId="268"/>
    <cellStyle name="Обычный 57 10" xfId="269"/>
    <cellStyle name="Обычный 57 11" xfId="270"/>
    <cellStyle name="Обычный 57 12" xfId="271"/>
    <cellStyle name="Обычный 57 13" xfId="272"/>
    <cellStyle name="Обычный 57 14" xfId="273"/>
    <cellStyle name="Обычный 57 14 2" xfId="274"/>
    <cellStyle name="Обычный 57 15" xfId="275"/>
    <cellStyle name="Обычный 57 16" xfId="276"/>
    <cellStyle name="Обычный 57 17" xfId="277"/>
    <cellStyle name="Обычный 57 18" xfId="278"/>
    <cellStyle name="Обычный 57 19" xfId="279"/>
    <cellStyle name="Обычный 57 2" xfId="280"/>
    <cellStyle name="Обычный 57 3" xfId="281"/>
    <cellStyle name="Обычный 57 4" xfId="282"/>
    <cellStyle name="Обычный 57 5" xfId="283"/>
    <cellStyle name="Обычный 57 6" xfId="284"/>
    <cellStyle name="Обычный 57 7" xfId="285"/>
    <cellStyle name="Обычный 57 8" xfId="286"/>
    <cellStyle name="Обычный 57 9" xfId="287"/>
    <cellStyle name="Обычный 58" xfId="288"/>
    <cellStyle name="Обычный 59" xfId="289"/>
    <cellStyle name="Обычный 6" xfId="290"/>
    <cellStyle name="Обычный 6 2" xfId="291"/>
    <cellStyle name="Обычный 6 2 2" xfId="452"/>
    <cellStyle name="Обычный 6 2 3" xfId="451"/>
    <cellStyle name="Обычный 6 3" xfId="453"/>
    <cellStyle name="Обычный 60" xfId="292"/>
    <cellStyle name="Обычный 61" xfId="293"/>
    <cellStyle name="Обычный 62" xfId="294"/>
    <cellStyle name="Обычный 63" xfId="295"/>
    <cellStyle name="Обычный 64" xfId="296"/>
    <cellStyle name="Обычный 65" xfId="297"/>
    <cellStyle name="Обычный 66" xfId="298"/>
    <cellStyle name="Обычный 67" xfId="299"/>
    <cellStyle name="Обычный 68" xfId="300"/>
    <cellStyle name="Обычный 69" xfId="301"/>
    <cellStyle name="Обычный 7" xfId="302"/>
    <cellStyle name="Обычный 7 2" xfId="303"/>
    <cellStyle name="Обычный 70" xfId="304"/>
    <cellStyle name="Обычный 71" xfId="305"/>
    <cellStyle name="Обычный 72" xfId="306"/>
    <cellStyle name="Обычный 73" xfId="307"/>
    <cellStyle name="Обычный 74" xfId="308"/>
    <cellStyle name="Обычный 75" xfId="309"/>
    <cellStyle name="Обычный 76" xfId="310"/>
    <cellStyle name="Обычный 77" xfId="311"/>
    <cellStyle name="Обычный 77 2" xfId="312"/>
    <cellStyle name="Обычный 77 3" xfId="313"/>
    <cellStyle name="Обычный 78" xfId="314"/>
    <cellStyle name="Обычный 79" xfId="315"/>
    <cellStyle name="Обычный 79 2" xfId="316"/>
    <cellStyle name="Обычный 79 3" xfId="317"/>
    <cellStyle name="Обычный 8" xfId="318"/>
    <cellStyle name="Обычный 8 2" xfId="319"/>
    <cellStyle name="Обычный 8 2 2" xfId="454"/>
    <cellStyle name="Обычный 8 3" xfId="436"/>
    <cellStyle name="Обычный 80" xfId="320"/>
    <cellStyle name="Обычный 81" xfId="321"/>
    <cellStyle name="Обычный 82" xfId="322"/>
    <cellStyle name="Обычный 82 2" xfId="323"/>
    <cellStyle name="Обычный 82 3" xfId="324"/>
    <cellStyle name="Обычный 82 4" xfId="325"/>
    <cellStyle name="Обычный 83" xfId="326"/>
    <cellStyle name="Обычный 84" xfId="327"/>
    <cellStyle name="Обычный 84 2" xfId="328"/>
    <cellStyle name="Обычный 85" xfId="329"/>
    <cellStyle name="Обычный 85 2" xfId="330"/>
    <cellStyle name="Обычный 86" xfId="331"/>
    <cellStyle name="Обычный 87" xfId="332"/>
    <cellStyle name="Обычный 88" xfId="333"/>
    <cellStyle name="Обычный 89" xfId="334"/>
    <cellStyle name="Обычный 9" xfId="335"/>
    <cellStyle name="Обычный 9 2" xfId="336"/>
    <cellStyle name="Обычный 9 3" xfId="444"/>
    <cellStyle name="Обычный 90" xfId="337"/>
    <cellStyle name="Обычный 91" xfId="338"/>
    <cellStyle name="Обычный 92" xfId="339"/>
    <cellStyle name="Обычный 93" xfId="340"/>
    <cellStyle name="Обычный 94" xfId="341"/>
    <cellStyle name="Обычный 95" xfId="342"/>
    <cellStyle name="Обычный 96" xfId="343"/>
    <cellStyle name="Обычный 97" xfId="344"/>
    <cellStyle name="Обычный 98" xfId="345"/>
    <cellStyle name="Обычный 99" xfId="346"/>
    <cellStyle name="Плохой 2" xfId="347"/>
    <cellStyle name="Плохой 2 2" xfId="437"/>
    <cellStyle name="Плохой 3" xfId="348"/>
    <cellStyle name="Плохой 3 2" xfId="349"/>
    <cellStyle name="Плохой 4" xfId="350"/>
    <cellStyle name="Пояснение 2" xfId="351"/>
    <cellStyle name="Пояснение 2 2" xfId="438"/>
    <cellStyle name="Пояснение 3" xfId="352"/>
    <cellStyle name="Пояснение 3 2" xfId="353"/>
    <cellStyle name="Пояснение 4" xfId="354"/>
    <cellStyle name="Примечание 2" xfId="355"/>
    <cellStyle name="Примечание 2 2" xfId="356"/>
    <cellStyle name="Примечание 2 3" xfId="357"/>
    <cellStyle name="Примечание 3" xfId="358"/>
    <cellStyle name="Примечание 3 2" xfId="359"/>
    <cellStyle name="Примечание 3 3" xfId="360"/>
    <cellStyle name="Примечание 4" xfId="361"/>
    <cellStyle name="Примечание 4 2" xfId="362"/>
    <cellStyle name="Процентный" xfId="392" builtinId="5"/>
    <cellStyle name="Процентный 2" xfId="363"/>
    <cellStyle name="Процентный 3" xfId="364"/>
    <cellStyle name="Процентный 4" xfId="365"/>
    <cellStyle name="Процентный 5" xfId="366"/>
    <cellStyle name="Процентный 6" xfId="388"/>
    <cellStyle name="Процентный 7" xfId="395"/>
    <cellStyle name="Процентный 8" xfId="397"/>
    <cellStyle name="Связанная ячейка 2" xfId="367"/>
    <cellStyle name="Связанная ячейка 2 2" xfId="439"/>
    <cellStyle name="Связанная ячейка 3" xfId="368"/>
    <cellStyle name="Связанная ячейка 3 2" xfId="369"/>
    <cellStyle name="Связанная ячейка 4" xfId="370"/>
    <cellStyle name="Стиль 1" xfId="371"/>
    <cellStyle name="Стиль 1 2" xfId="440"/>
    <cellStyle name="Текст предупреждения 2" xfId="372"/>
    <cellStyle name="Текст предупреждения 2 2" xfId="441"/>
    <cellStyle name="Текст предупреждения 3" xfId="373"/>
    <cellStyle name="Текст предупреждения 3 2" xfId="374"/>
    <cellStyle name="Текст предупреждения 4" xfId="375"/>
    <cellStyle name="Тысячи [0]_sl100" xfId="376"/>
    <cellStyle name="Тысячи_sl100" xfId="377"/>
    <cellStyle name="Финансовый" xfId="457" builtinId="3"/>
    <cellStyle name="Финансовый 2" xfId="378"/>
    <cellStyle name="Финансовый 2 2" xfId="379"/>
    <cellStyle name="Финансовый 2 3" xfId="390"/>
    <cellStyle name="Финансовый 2 4" xfId="442"/>
    <cellStyle name="Финансовый 3" xfId="380"/>
    <cellStyle name="Финансовый 4" xfId="381"/>
    <cellStyle name="Финансовый 5" xfId="382"/>
    <cellStyle name="Финансовый 6" xfId="387"/>
    <cellStyle name="Финансовый 7" xfId="398"/>
    <cellStyle name="Финансовый 8" xfId="456"/>
    <cellStyle name="Финансовый 9" xfId="458"/>
    <cellStyle name="Хороший 2" xfId="383"/>
    <cellStyle name="Хороший 2 2" xfId="443"/>
    <cellStyle name="Хороший 3" xfId="384"/>
    <cellStyle name="Хороший 3 2" xfId="385"/>
    <cellStyle name="Хороший 4" xfId="386"/>
  </cellStyles>
  <dxfs count="0"/>
  <tableStyles count="1" defaultTableStyle="TableStyleMedium2" defaultPivotStyle="PivotStyleLight16">
    <tableStyle name="Стиль сводной таблицы 1" table="0" count="0"/>
  </tableStyles>
  <colors>
    <mruColors>
      <color rgb="FFCCFFFF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'1'!$B$8</c:f>
              <c:strCache>
                <c:ptCount val="1"/>
                <c:pt idx="0">
                  <c:v>ЗПИФ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'1'!$C$6:$AA$6</c:f>
              <c:strCache>
                <c:ptCount val="25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  <c:pt idx="23">
                  <c:v>I кв. 2022*</c:v>
                </c:pt>
                <c:pt idx="24">
                  <c:v>II кв. 2022*</c:v>
                </c:pt>
              </c:strCache>
            </c:strRef>
          </c:cat>
          <c:val>
            <c:numRef>
              <c:f>'1'!$C$8:$AA$8</c:f>
              <c:numCache>
                <c:formatCode>0.0</c:formatCode>
                <c:ptCount val="25"/>
                <c:pt idx="0">
                  <c:v>33.340433650000001</c:v>
                </c:pt>
                <c:pt idx="1">
                  <c:v>-25.973947215020033</c:v>
                </c:pt>
                <c:pt idx="2">
                  <c:v>57.626815649489998</c:v>
                </c:pt>
                <c:pt idx="3">
                  <c:v>75.367507540369985</c:v>
                </c:pt>
                <c:pt idx="4">
                  <c:v>102.99228324466999</c:v>
                </c:pt>
                <c:pt idx="5">
                  <c:v>-19.339361374420001</c:v>
                </c:pt>
                <c:pt idx="6">
                  <c:v>41.473512418120002</c:v>
                </c:pt>
                <c:pt idx="7">
                  <c:v>237.82060366112998</c:v>
                </c:pt>
                <c:pt idx="8">
                  <c:v>48.079628054810001</c:v>
                </c:pt>
                <c:pt idx="9">
                  <c:v>49.004248349489991</c:v>
                </c:pt>
                <c:pt idx="10">
                  <c:v>2.2257212645899962</c:v>
                </c:pt>
                <c:pt idx="11">
                  <c:v>43.068599893450013</c:v>
                </c:pt>
                <c:pt idx="12">
                  <c:v>71.897467919269999</c:v>
                </c:pt>
                <c:pt idx="13">
                  <c:v>58.206844306780013</c:v>
                </c:pt>
                <c:pt idx="14">
                  <c:v>244.76190949094999</c:v>
                </c:pt>
                <c:pt idx="15">
                  <c:v>148.39850165019601</c:v>
                </c:pt>
                <c:pt idx="16" formatCode="General">
                  <c:v>42.3</c:v>
                </c:pt>
                <c:pt idx="17" formatCode="General">
                  <c:v>108.3</c:v>
                </c:pt>
                <c:pt idx="18">
                  <c:v>98.316782544958997</c:v>
                </c:pt>
                <c:pt idx="19">
                  <c:v>172.87588823968301</c:v>
                </c:pt>
                <c:pt idx="20">
                  <c:v>90.875663542016994</c:v>
                </c:pt>
                <c:pt idx="21">
                  <c:v>104.736886357687</c:v>
                </c:pt>
                <c:pt idx="22">
                  <c:v>263.2</c:v>
                </c:pt>
                <c:pt idx="23" formatCode="0">
                  <c:v>188.797636858348</c:v>
                </c:pt>
                <c:pt idx="24" formatCode="0">
                  <c:v>380</c:v>
                </c:pt>
              </c:numCache>
            </c:numRef>
          </c:val>
        </c:ser>
        <c:ser>
          <c:idx val="2"/>
          <c:order val="2"/>
          <c:tx>
            <c:strRef>
              <c:f>'1'!$B$9</c:f>
              <c:strCache>
                <c:ptCount val="1"/>
                <c:pt idx="0">
                  <c:v>ОПИФ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'1'!$C$6:$AA$6</c:f>
              <c:strCache>
                <c:ptCount val="25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  <c:pt idx="23">
                  <c:v>I кв. 2022*</c:v>
                </c:pt>
                <c:pt idx="24">
                  <c:v>II кв. 2022*</c:v>
                </c:pt>
              </c:strCache>
            </c:strRef>
          </c:cat>
          <c:val>
            <c:numRef>
              <c:f>'1'!$C$9:$AA$9</c:f>
              <c:numCache>
                <c:formatCode>0.0</c:formatCode>
                <c:ptCount val="25"/>
                <c:pt idx="0">
                  <c:v>1.3614831699999996</c:v>
                </c:pt>
                <c:pt idx="1">
                  <c:v>0.7</c:v>
                </c:pt>
                <c:pt idx="2">
                  <c:v>3.7612903721699862</c:v>
                </c:pt>
                <c:pt idx="3">
                  <c:v>6.5383163483900031</c:v>
                </c:pt>
                <c:pt idx="4">
                  <c:v>11.428548826740002</c:v>
                </c:pt>
                <c:pt idx="5">
                  <c:v>18.509513302550001</c:v>
                </c:pt>
                <c:pt idx="6">
                  <c:v>20.34090839117</c:v>
                </c:pt>
                <c:pt idx="7">
                  <c:v>22.290699136949982</c:v>
                </c:pt>
                <c:pt idx="8">
                  <c:v>36.222981051279959</c:v>
                </c:pt>
                <c:pt idx="9">
                  <c:v>40.688125968569992</c:v>
                </c:pt>
                <c:pt idx="10">
                  <c:v>10.084926587309983</c:v>
                </c:pt>
                <c:pt idx="11">
                  <c:v>-2.6727790350361751</c:v>
                </c:pt>
                <c:pt idx="12">
                  <c:v>-5.5424840664259136</c:v>
                </c:pt>
                <c:pt idx="13">
                  <c:v>5.7248337836590295</c:v>
                </c:pt>
                <c:pt idx="14">
                  <c:v>28.058415925618299</c:v>
                </c:pt>
                <c:pt idx="15">
                  <c:v>62.334800914713</c:v>
                </c:pt>
                <c:pt idx="16" formatCode="General">
                  <c:v>25.2</c:v>
                </c:pt>
                <c:pt idx="17" formatCode="General">
                  <c:v>38.1</c:v>
                </c:pt>
                <c:pt idx="18">
                  <c:v>40.116113085616</c:v>
                </c:pt>
                <c:pt idx="19">
                  <c:v>69.356568972016007</c:v>
                </c:pt>
                <c:pt idx="20">
                  <c:v>56.767873161143001</c:v>
                </c:pt>
                <c:pt idx="21">
                  <c:v>43.241614301090998</c:v>
                </c:pt>
                <c:pt idx="22">
                  <c:v>35.719220113207001</c:v>
                </c:pt>
                <c:pt idx="23">
                  <c:v>-9.6330826907544989</c:v>
                </c:pt>
                <c:pt idx="24">
                  <c:v>-18.3</c:v>
                </c:pt>
              </c:numCache>
            </c:numRef>
          </c:val>
        </c:ser>
        <c:ser>
          <c:idx val="3"/>
          <c:order val="3"/>
          <c:tx>
            <c:strRef>
              <c:f>'1'!$B$10</c:f>
              <c:strCache>
                <c:ptCount val="1"/>
                <c:pt idx="0">
                  <c:v>ИПИФ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'1'!$C$6:$AA$6</c:f>
              <c:strCache>
                <c:ptCount val="25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  <c:pt idx="23">
                  <c:v>I кв. 2022*</c:v>
                </c:pt>
                <c:pt idx="24">
                  <c:v>II кв. 2022*</c:v>
                </c:pt>
              </c:strCache>
            </c:strRef>
          </c:cat>
          <c:val>
            <c:numRef>
              <c:f>'1'!$C$10:$AA$10</c:f>
              <c:numCache>
                <c:formatCode>0.0</c:formatCode>
                <c:ptCount val="25"/>
                <c:pt idx="0">
                  <c:v>-3.056616113</c:v>
                </c:pt>
                <c:pt idx="1">
                  <c:v>-0.2</c:v>
                </c:pt>
                <c:pt idx="2">
                  <c:v>-0.20922751863999967</c:v>
                </c:pt>
                <c:pt idx="3">
                  <c:v>-1.2327410903200007</c:v>
                </c:pt>
                <c:pt idx="4">
                  <c:v>4.630830419999999E-2</c:v>
                </c:pt>
                <c:pt idx="5">
                  <c:v>0.87938478684999988</c:v>
                </c:pt>
                <c:pt idx="6">
                  <c:v>-4.6050901409999997E-2</c:v>
                </c:pt>
                <c:pt idx="7">
                  <c:v>0.27496622512999991</c:v>
                </c:pt>
                <c:pt idx="8">
                  <c:v>1.5757083574400002</c:v>
                </c:pt>
                <c:pt idx="9">
                  <c:v>2.8100939680199994</c:v>
                </c:pt>
                <c:pt idx="10">
                  <c:v>1.6487807066799998</c:v>
                </c:pt>
                <c:pt idx="11">
                  <c:v>2.5168578474240255</c:v>
                </c:pt>
                <c:pt idx="12">
                  <c:v>14.4704299385205</c:v>
                </c:pt>
                <c:pt idx="13">
                  <c:v>3.4698531628442244</c:v>
                </c:pt>
                <c:pt idx="14">
                  <c:v>0.63588089904067502</c:v>
                </c:pt>
                <c:pt idx="15">
                  <c:v>1.3236645177440001</c:v>
                </c:pt>
                <c:pt idx="16" formatCode="General">
                  <c:v>1.1000000000000001</c:v>
                </c:pt>
                <c:pt idx="17" formatCode="General">
                  <c:v>2.4</c:v>
                </c:pt>
                <c:pt idx="18">
                  <c:v>6.1913783694999998</c:v>
                </c:pt>
                <c:pt idx="19">
                  <c:v>7.3496252429510003</c:v>
                </c:pt>
                <c:pt idx="20">
                  <c:v>21.900955292086</c:v>
                </c:pt>
                <c:pt idx="21">
                  <c:v>-1.6403560644499999</c:v>
                </c:pt>
                <c:pt idx="22">
                  <c:v>5.3187834284709998</c:v>
                </c:pt>
                <c:pt idx="23">
                  <c:v>-0.50937965340710001</c:v>
                </c:pt>
                <c:pt idx="24">
                  <c:v>1.3</c:v>
                </c:pt>
              </c:numCache>
            </c:numRef>
          </c:val>
        </c:ser>
        <c:ser>
          <c:idx val="4"/>
          <c:order val="4"/>
          <c:tx>
            <c:strRef>
              <c:f>'1'!$B$11</c:f>
              <c:strCache>
                <c:ptCount val="1"/>
                <c:pt idx="0">
                  <c:v>БПИФ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'1'!$C$6:$AA$6</c:f>
              <c:strCache>
                <c:ptCount val="25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  <c:pt idx="23">
                  <c:v>I кв. 2022*</c:v>
                </c:pt>
                <c:pt idx="24">
                  <c:v>II кв. 2022*</c:v>
                </c:pt>
              </c:strCache>
            </c:strRef>
          </c:cat>
          <c:val>
            <c:numRef>
              <c:f>'1'!$C$11:$AA$11</c:f>
              <c:numCache>
                <c:formatCode>General</c:formatCode>
                <c:ptCount val="25"/>
                <c:pt idx="10">
                  <c:v>0.2</c:v>
                </c:pt>
                <c:pt idx="11" formatCode="0.0">
                  <c:v>0.83077332116439984</c:v>
                </c:pt>
                <c:pt idx="12" formatCode="0.0">
                  <c:v>2.6517320537511244</c:v>
                </c:pt>
                <c:pt idx="13" formatCode="0.0">
                  <c:v>2.3068829396173003</c:v>
                </c:pt>
                <c:pt idx="14" formatCode="0.0">
                  <c:v>4.5898434881941004</c:v>
                </c:pt>
                <c:pt idx="15" formatCode="0.0">
                  <c:v>5.060072474769</c:v>
                </c:pt>
                <c:pt idx="16" formatCode="0.0">
                  <c:v>6.1</c:v>
                </c:pt>
                <c:pt idx="17">
                  <c:v>13.3</c:v>
                </c:pt>
                <c:pt idx="18" formatCode="0.0">
                  <c:v>35.151169922457001</c:v>
                </c:pt>
                <c:pt idx="19" formatCode="0.0">
                  <c:v>25.505250463018999</c:v>
                </c:pt>
                <c:pt idx="20" formatCode="0.0">
                  <c:v>17.846189994391999</c:v>
                </c:pt>
                <c:pt idx="21" formatCode="0.0">
                  <c:v>26.926958834328001</c:v>
                </c:pt>
                <c:pt idx="22" formatCode="0.0">
                  <c:v>49.6</c:v>
                </c:pt>
                <c:pt idx="23" formatCode="0.0">
                  <c:v>6.2500448078620714</c:v>
                </c:pt>
                <c:pt idx="24" formatCode="0.0">
                  <c:v>-4.3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2584064"/>
        <c:axId val="292598144"/>
      </c:barChart>
      <c:lineChart>
        <c:grouping val="standard"/>
        <c:varyColors val="0"/>
        <c:ser>
          <c:idx val="0"/>
          <c:order val="0"/>
          <c:tx>
            <c:strRef>
              <c:f>'1'!$B$7</c:f>
              <c:strCache>
                <c:ptCount val="1"/>
                <c:pt idx="0">
                  <c:v>Итого нетто-приток/отток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'1'!$C$6:$AA$6</c:f>
              <c:strCache>
                <c:ptCount val="25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  <c:pt idx="23">
                  <c:v>I кв. 2022*</c:v>
                </c:pt>
                <c:pt idx="24">
                  <c:v>II кв. 2022*</c:v>
                </c:pt>
              </c:strCache>
            </c:strRef>
          </c:cat>
          <c:val>
            <c:numRef>
              <c:f>'1'!$C$7:$AA$7</c:f>
              <c:numCache>
                <c:formatCode>0.0</c:formatCode>
                <c:ptCount val="25"/>
                <c:pt idx="0">
                  <c:v>31.645300707000001</c:v>
                </c:pt>
                <c:pt idx="1">
                  <c:v>-25.47585624551003</c:v>
                </c:pt>
                <c:pt idx="2">
                  <c:v>61.178878503020016</c:v>
                </c:pt>
                <c:pt idx="3">
                  <c:v>80.673082798440007</c:v>
                </c:pt>
                <c:pt idx="4">
                  <c:v>114.46714037561</c:v>
                </c:pt>
                <c:pt idx="5">
                  <c:v>4.9536714980000007E-2</c:v>
                </c:pt>
                <c:pt idx="6">
                  <c:v>61.76836990788</c:v>
                </c:pt>
                <c:pt idx="7">
                  <c:v>260.38626902321005</c:v>
                </c:pt>
                <c:pt idx="8">
                  <c:v>85.878317463529967</c:v>
                </c:pt>
                <c:pt idx="9">
                  <c:v>92.502468286079989</c:v>
                </c:pt>
                <c:pt idx="10">
                  <c:v>14.159428558579979</c:v>
                </c:pt>
                <c:pt idx="11">
                  <c:v>43.74345202700227</c:v>
                </c:pt>
                <c:pt idx="12">
                  <c:v>83.4771458451157</c:v>
                </c:pt>
                <c:pt idx="13">
                  <c:v>69.708414192900563</c:v>
                </c:pt>
                <c:pt idx="14">
                  <c:v>278.04604980380304</c:v>
                </c:pt>
                <c:pt idx="15">
                  <c:v>217.11703955742399</c:v>
                </c:pt>
                <c:pt idx="16" formatCode="General">
                  <c:v>74.7</c:v>
                </c:pt>
                <c:pt idx="17" formatCode="General">
                  <c:v>162.1</c:v>
                </c:pt>
                <c:pt idx="18">
                  <c:v>179.77544392253299</c:v>
                </c:pt>
                <c:pt idx="19">
                  <c:v>275.08733291766998</c:v>
                </c:pt>
                <c:pt idx="20">
                  <c:v>187.39068198964</c:v>
                </c:pt>
                <c:pt idx="21">
                  <c:v>173.265103428657</c:v>
                </c:pt>
                <c:pt idx="22">
                  <c:v>353.9</c:v>
                </c:pt>
                <c:pt idx="23" formatCode="0">
                  <c:v>184.90521932204848</c:v>
                </c:pt>
                <c:pt idx="24" formatCode="0">
                  <c:v>358.6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584064"/>
        <c:axId val="292598144"/>
      </c:lineChart>
      <c:catAx>
        <c:axId val="29258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2598144"/>
        <c:crosses val="autoZero"/>
        <c:auto val="1"/>
        <c:lblAlgn val="ctr"/>
        <c:lblOffset val="100"/>
        <c:noMultiLvlLbl val="0"/>
      </c:catAx>
      <c:valAx>
        <c:axId val="29259814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2584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'10'!$C$5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'10'!$B$6:$B$12</c:f>
              <c:strCache>
                <c:ptCount val="7"/>
                <c:pt idx="0">
                  <c:v>Russian Bonds</c:v>
                </c:pt>
                <c:pt idx="1">
                  <c:v>Market Mix</c:v>
                </c:pt>
                <c:pt idx="2">
                  <c:v>Balanced</c:v>
                </c:pt>
                <c:pt idx="3">
                  <c:v>Russian Stocks</c:v>
                </c:pt>
                <c:pt idx="4">
                  <c:v>ETF</c:v>
                </c:pt>
                <c:pt idx="5">
                  <c:v>Foreign Bonds</c:v>
                </c:pt>
                <c:pt idx="6">
                  <c:v>Foreign Stocks</c:v>
                </c:pt>
              </c:strCache>
            </c:strRef>
          </c:cat>
          <c:val>
            <c:numRef>
              <c:f>'10'!$C$6:$C$12</c:f>
              <c:numCache>
                <c:formatCode>General</c:formatCode>
                <c:ptCount val="7"/>
                <c:pt idx="0">
                  <c:v>7</c:v>
                </c:pt>
                <c:pt idx="1">
                  <c:v>24.2</c:v>
                </c:pt>
                <c:pt idx="2">
                  <c:v>8.5</c:v>
                </c:pt>
                <c:pt idx="3">
                  <c:v>10.9</c:v>
                </c:pt>
                <c:pt idx="4">
                  <c:v>38</c:v>
                </c:pt>
                <c:pt idx="5">
                  <c:v>29</c:v>
                </c:pt>
                <c:pt idx="6">
                  <c:v>51.7</c:v>
                </c:pt>
              </c:numCache>
            </c:numRef>
          </c:val>
        </c:ser>
        <c:ser>
          <c:idx val="1"/>
          <c:order val="1"/>
          <c:tx>
            <c:strRef>
              <c:f>'10'!$D$5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'10'!$B$6:$B$12</c:f>
              <c:strCache>
                <c:ptCount val="7"/>
                <c:pt idx="0">
                  <c:v>Russian Bonds</c:v>
                </c:pt>
                <c:pt idx="1">
                  <c:v>Market Mix</c:v>
                </c:pt>
                <c:pt idx="2">
                  <c:v>Balanced</c:v>
                </c:pt>
                <c:pt idx="3">
                  <c:v>Russian Stocks</c:v>
                </c:pt>
                <c:pt idx="4">
                  <c:v>ETF</c:v>
                </c:pt>
                <c:pt idx="5">
                  <c:v>Foreign Bonds</c:v>
                </c:pt>
                <c:pt idx="6">
                  <c:v>Foreign Stocks</c:v>
                </c:pt>
              </c:strCache>
            </c:strRef>
          </c:cat>
          <c:val>
            <c:numRef>
              <c:f>'10'!$D$6:$D$12</c:f>
              <c:numCache>
                <c:formatCode>0.0</c:formatCode>
                <c:ptCount val="7"/>
                <c:pt idx="0">
                  <c:v>-0.6</c:v>
                </c:pt>
                <c:pt idx="1">
                  <c:v>3.7</c:v>
                </c:pt>
                <c:pt idx="2">
                  <c:v>15.8</c:v>
                </c:pt>
                <c:pt idx="3">
                  <c:v>22.6</c:v>
                </c:pt>
                <c:pt idx="4">
                  <c:v>3.1</c:v>
                </c:pt>
                <c:pt idx="5">
                  <c:v>-1.9</c:v>
                </c:pt>
                <c:pt idx="6">
                  <c:v>9.4</c:v>
                </c:pt>
              </c:numCache>
            </c:numRef>
          </c:val>
        </c:ser>
        <c:ser>
          <c:idx val="2"/>
          <c:order val="2"/>
          <c:tx>
            <c:strRef>
              <c:f>'10'!$E$5</c:f>
              <c:strCache>
                <c:ptCount val="1"/>
                <c:pt idx="0">
                  <c:v>1ПГ2022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'10'!$B$6:$B$12</c:f>
              <c:strCache>
                <c:ptCount val="7"/>
                <c:pt idx="0">
                  <c:v>Russian Bonds</c:v>
                </c:pt>
                <c:pt idx="1">
                  <c:v>Market Mix</c:v>
                </c:pt>
                <c:pt idx="2">
                  <c:v>Balanced</c:v>
                </c:pt>
                <c:pt idx="3">
                  <c:v>Russian Stocks</c:v>
                </c:pt>
                <c:pt idx="4">
                  <c:v>ETF</c:v>
                </c:pt>
                <c:pt idx="5">
                  <c:v>Foreign Bonds</c:v>
                </c:pt>
                <c:pt idx="6">
                  <c:v>Foreign Stocks</c:v>
                </c:pt>
              </c:strCache>
            </c:strRef>
          </c:cat>
          <c:val>
            <c:numRef>
              <c:f>'10'!$E$6:$E$12</c:f>
              <c:numCache>
                <c:formatCode>0.0</c:formatCode>
                <c:ptCount val="7"/>
                <c:pt idx="0">
                  <c:v>1.4</c:v>
                </c:pt>
                <c:pt idx="1">
                  <c:v>-19.600000000000001</c:v>
                </c:pt>
                <c:pt idx="2">
                  <c:v>-27.1</c:v>
                </c:pt>
                <c:pt idx="3">
                  <c:v>-39.5</c:v>
                </c:pt>
                <c:pt idx="4">
                  <c:v>-44.4</c:v>
                </c:pt>
                <c:pt idx="5">
                  <c:v>-49.9</c:v>
                </c:pt>
                <c:pt idx="6">
                  <c:v>-51.3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804992"/>
        <c:axId val="304806528"/>
      </c:barChart>
      <c:catAx>
        <c:axId val="304804992"/>
        <c:scaling>
          <c:orientation val="minMax"/>
        </c:scaling>
        <c:delete val="0"/>
        <c:axPos val="l"/>
        <c:majorTickMark val="out"/>
        <c:minorTickMark val="none"/>
        <c:tickLblPos val="nextTo"/>
        <c:crossAx val="304806528"/>
        <c:crosses val="autoZero"/>
        <c:auto val="1"/>
        <c:lblAlgn val="ctr"/>
        <c:lblOffset val="100"/>
        <c:noMultiLvlLbl val="0"/>
      </c:catAx>
      <c:valAx>
        <c:axId val="304806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4804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'11'!$A$7</c:f>
              <c:strCache>
                <c:ptCount val="1"/>
                <c:pt idx="0">
                  <c:v>Объем выдачи ОПИФ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'11'!$B$5:$Y$5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  <c:pt idx="23">
                  <c:v>II кв. 2022</c:v>
                </c:pt>
              </c:strCache>
            </c:strRef>
          </c:cat>
          <c:val>
            <c:numRef>
              <c:f>'11'!$B$7:$Y$7</c:f>
              <c:numCache>
                <c:formatCode>0.0</c:formatCode>
                <c:ptCount val="24"/>
                <c:pt idx="0">
                  <c:v>12.75409196</c:v>
                </c:pt>
                <c:pt idx="1">
                  <c:v>9.5159842716299998</c:v>
                </c:pt>
                <c:pt idx="2">
                  <c:v>18.197290355109999</c:v>
                </c:pt>
                <c:pt idx="3">
                  <c:v>18.421519340750002</c:v>
                </c:pt>
                <c:pt idx="4">
                  <c:v>19.497634789420001</c:v>
                </c:pt>
                <c:pt idx="5">
                  <c:v>26.496537701400001</c:v>
                </c:pt>
                <c:pt idx="6">
                  <c:v>28.1137162361</c:v>
                </c:pt>
                <c:pt idx="7">
                  <c:v>36.774683539909987</c:v>
                </c:pt>
                <c:pt idx="8">
                  <c:v>47.86229315745998</c:v>
                </c:pt>
                <c:pt idx="9">
                  <c:v>54.511246840070001</c:v>
                </c:pt>
                <c:pt idx="10">
                  <c:v>35.319125033679988</c:v>
                </c:pt>
                <c:pt idx="11">
                  <c:v>26.796799839518926</c:v>
                </c:pt>
                <c:pt idx="12">
                  <c:v>20.260805550280249</c:v>
                </c:pt>
                <c:pt idx="13">
                  <c:v>31.395501801157138</c:v>
                </c:pt>
                <c:pt idx="14">
                  <c:v>49.6644634341882</c:v>
                </c:pt>
                <c:pt idx="15">
                  <c:v>85.566885684179994</c:v>
                </c:pt>
                <c:pt idx="16">
                  <c:v>47.9</c:v>
                </c:pt>
                <c:pt idx="17">
                  <c:v>76.186619518265999</c:v>
                </c:pt>
                <c:pt idx="18">
                  <c:v>96.235036823667997</c:v>
                </c:pt>
                <c:pt idx="19">
                  <c:v>114.883384039029</c:v>
                </c:pt>
                <c:pt idx="20">
                  <c:v>105.95137710063599</c:v>
                </c:pt>
                <c:pt idx="21">
                  <c:v>105.772395026583</c:v>
                </c:pt>
                <c:pt idx="22">
                  <c:v>111.844560246013</c:v>
                </c:pt>
                <c:pt idx="23" formatCode="0">
                  <c:v>24</c:v>
                </c:pt>
              </c:numCache>
            </c:numRef>
          </c:val>
        </c:ser>
        <c:ser>
          <c:idx val="2"/>
          <c:order val="2"/>
          <c:tx>
            <c:strRef>
              <c:f>'11'!$A$8</c:f>
              <c:strCache>
                <c:ptCount val="1"/>
                <c:pt idx="0">
                  <c:v>Объем погашения ОПИФ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'11'!$B$5:$Y$5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  <c:pt idx="23">
                  <c:v>II кв. 2022</c:v>
                </c:pt>
              </c:strCache>
            </c:strRef>
          </c:cat>
          <c:val>
            <c:numRef>
              <c:f>'11'!$B$8:$Y$8</c:f>
              <c:numCache>
                <c:formatCode>0.0</c:formatCode>
                <c:ptCount val="24"/>
                <c:pt idx="0">
                  <c:v>11.392608790000001</c:v>
                </c:pt>
                <c:pt idx="1">
                  <c:v>8.8604908428099982</c:v>
                </c:pt>
                <c:pt idx="2">
                  <c:v>14.435999982940004</c:v>
                </c:pt>
                <c:pt idx="3">
                  <c:v>11.883202992359998</c:v>
                </c:pt>
                <c:pt idx="4">
                  <c:v>8.0690859626799991</c:v>
                </c:pt>
                <c:pt idx="5">
                  <c:v>7.98702439885</c:v>
                </c:pt>
                <c:pt idx="6">
                  <c:v>7.77280784493</c:v>
                </c:pt>
                <c:pt idx="7">
                  <c:v>14.483984402960008</c:v>
                </c:pt>
                <c:pt idx="8">
                  <c:v>11.639312106180018</c:v>
                </c:pt>
                <c:pt idx="9">
                  <c:v>13.823120871500008</c:v>
                </c:pt>
                <c:pt idx="10">
                  <c:v>25.234198446370005</c:v>
                </c:pt>
                <c:pt idx="11">
                  <c:v>29.469578874555101</c:v>
                </c:pt>
                <c:pt idx="12">
                  <c:v>25.803289616706163</c:v>
                </c:pt>
                <c:pt idx="13">
                  <c:v>25.670668017498109</c:v>
                </c:pt>
                <c:pt idx="14">
                  <c:v>21.606047508569901</c:v>
                </c:pt>
                <c:pt idx="15">
                  <c:v>23.232084769465999</c:v>
                </c:pt>
                <c:pt idx="16">
                  <c:v>22.7</c:v>
                </c:pt>
                <c:pt idx="17">
                  <c:v>38.070100586448</c:v>
                </c:pt>
                <c:pt idx="18">
                  <c:v>56.118923738051997</c:v>
                </c:pt>
                <c:pt idx="19">
                  <c:v>45.526815067012002</c:v>
                </c:pt>
                <c:pt idx="20">
                  <c:v>49.183503939491999</c:v>
                </c:pt>
                <c:pt idx="21">
                  <c:v>62.530780725490999</c:v>
                </c:pt>
                <c:pt idx="22">
                  <c:v>76.125340132805803</c:v>
                </c:pt>
                <c:pt idx="23" formatCode="0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040768"/>
        <c:axId val="305050752"/>
      </c:barChart>
      <c:lineChart>
        <c:grouping val="standard"/>
        <c:varyColors val="0"/>
        <c:ser>
          <c:idx val="0"/>
          <c:order val="0"/>
          <c:tx>
            <c:strRef>
              <c:f>'11'!$A$6</c:f>
              <c:strCache>
                <c:ptCount val="1"/>
                <c:pt idx="0">
                  <c:v>Нетто-приток/отток ОПИФ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'11'!$B$5:$Y$5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  <c:pt idx="23">
                  <c:v>II кв. 2022</c:v>
                </c:pt>
              </c:strCache>
            </c:strRef>
          </c:cat>
          <c:val>
            <c:numRef>
              <c:f>'11'!$B$6:$Y$6</c:f>
              <c:numCache>
                <c:formatCode>0.0</c:formatCode>
                <c:ptCount val="24"/>
                <c:pt idx="0">
                  <c:v>1.3614831699999996</c:v>
                </c:pt>
                <c:pt idx="1">
                  <c:v>0.7</c:v>
                </c:pt>
                <c:pt idx="2">
                  <c:v>3.7612903721699862</c:v>
                </c:pt>
                <c:pt idx="3">
                  <c:v>6.5383163483900031</c:v>
                </c:pt>
                <c:pt idx="4">
                  <c:v>11.428548826740002</c:v>
                </c:pt>
                <c:pt idx="5">
                  <c:v>18.509513302550001</c:v>
                </c:pt>
                <c:pt idx="6">
                  <c:v>20.34090839117</c:v>
                </c:pt>
                <c:pt idx="7">
                  <c:v>22.290699136949982</c:v>
                </c:pt>
                <c:pt idx="8">
                  <c:v>36.222981051279959</c:v>
                </c:pt>
                <c:pt idx="9">
                  <c:v>40.688125968569992</c:v>
                </c:pt>
                <c:pt idx="10">
                  <c:v>10.084926587309983</c:v>
                </c:pt>
                <c:pt idx="11">
                  <c:v>-2.6727790350361751</c:v>
                </c:pt>
                <c:pt idx="12">
                  <c:v>-5.5424840664259136</c:v>
                </c:pt>
                <c:pt idx="13">
                  <c:v>5.7248337836590295</c:v>
                </c:pt>
                <c:pt idx="14">
                  <c:v>28.058415925618299</c:v>
                </c:pt>
                <c:pt idx="15">
                  <c:v>62.334800914713</c:v>
                </c:pt>
                <c:pt idx="16">
                  <c:v>25.2</c:v>
                </c:pt>
                <c:pt idx="17">
                  <c:v>38.116518931816998</c:v>
                </c:pt>
                <c:pt idx="18">
                  <c:v>40.116113085616</c:v>
                </c:pt>
                <c:pt idx="19">
                  <c:v>69.356568972016007</c:v>
                </c:pt>
                <c:pt idx="20">
                  <c:v>56.767873161143001</c:v>
                </c:pt>
                <c:pt idx="21">
                  <c:v>43.241614301090998</c:v>
                </c:pt>
                <c:pt idx="22">
                  <c:v>35.719220113207001</c:v>
                </c:pt>
                <c:pt idx="23" formatCode="0">
                  <c:v>-18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'11'!$A$9</c:f>
              <c:strCache>
                <c:ptCount val="1"/>
                <c:pt idx="0">
                  <c:v>Прирост СЧА ОПИФ за квартал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'11'!$B$5:$Y$5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  <c:pt idx="23">
                  <c:v>II кв. 2022</c:v>
                </c:pt>
              </c:strCache>
            </c:strRef>
          </c:cat>
          <c:val>
            <c:numRef>
              <c:f>'11'!$B$9:$Y$9</c:f>
              <c:numCache>
                <c:formatCode>0.0</c:formatCode>
                <c:ptCount val="24"/>
                <c:pt idx="1">
                  <c:v>3.5274475479199756</c:v>
                </c:pt>
                <c:pt idx="2">
                  <c:v>8.0032417133700218</c:v>
                </c:pt>
                <c:pt idx="3">
                  <c:v>8.1614274917300786</c:v>
                </c:pt>
                <c:pt idx="4">
                  <c:v>10.266849462549915</c:v>
                </c:pt>
                <c:pt idx="5">
                  <c:v>21.728674157009984</c:v>
                </c:pt>
                <c:pt idx="6">
                  <c:v>27.722298307140008</c:v>
                </c:pt>
                <c:pt idx="7">
                  <c:v>27.305231317680068</c:v>
                </c:pt>
                <c:pt idx="8">
                  <c:v>41.466420937270158</c:v>
                </c:pt>
                <c:pt idx="9">
                  <c:v>44.420000378961824</c:v>
                </c:pt>
                <c:pt idx="10">
                  <c:v>13.754594320002303</c:v>
                </c:pt>
                <c:pt idx="11">
                  <c:v>-2.1158047896276693</c:v>
                </c:pt>
                <c:pt idx="12">
                  <c:v>3.01154611555289</c:v>
                </c:pt>
                <c:pt idx="13">
                  <c:v>18.635207614734711</c:v>
                </c:pt>
                <c:pt idx="14">
                  <c:v>36.887925012744326</c:v>
                </c:pt>
                <c:pt idx="15">
                  <c:v>80.83138675871939</c:v>
                </c:pt>
                <c:pt idx="16">
                  <c:v>54.6</c:v>
                </c:pt>
                <c:pt idx="17">
                  <c:v>69.122826702631997</c:v>
                </c:pt>
                <c:pt idx="18">
                  <c:v>65.829490743142003</c:v>
                </c:pt>
                <c:pt idx="19">
                  <c:v>84.530721962949954</c:v>
                </c:pt>
                <c:pt idx="20">
                  <c:v>81.563860935323987</c:v>
                </c:pt>
                <c:pt idx="21">
                  <c:v>66.574747964706035</c:v>
                </c:pt>
                <c:pt idx="22">
                  <c:v>21.1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5040768"/>
        <c:axId val="305050752"/>
      </c:lineChart>
      <c:catAx>
        <c:axId val="30504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5050752"/>
        <c:crosses val="autoZero"/>
        <c:auto val="1"/>
        <c:lblAlgn val="ctr"/>
        <c:lblOffset val="100"/>
        <c:noMultiLvlLbl val="0"/>
      </c:catAx>
      <c:valAx>
        <c:axId val="30505075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5040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'12'!$B$7</c:f>
              <c:strCache>
                <c:ptCount val="1"/>
                <c:pt idx="0">
                  <c:v>Объем выдачи БПИФ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'12'!$C$5:$M$5</c:f>
              <c:strCache>
                <c:ptCount val="11"/>
                <c:pt idx="0">
                  <c:v>II кв. 2019</c:v>
                </c:pt>
                <c:pt idx="1">
                  <c:v>III кв. 2019</c:v>
                </c:pt>
                <c:pt idx="2">
                  <c:v>IV кв. 2019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  <c:pt idx="10">
                  <c:v>II кв. 2022</c:v>
                </c:pt>
              </c:strCache>
            </c:strRef>
          </c:cat>
          <c:val>
            <c:numRef>
              <c:f>'12'!$C$7:$M$7</c:f>
              <c:numCache>
                <c:formatCode>0.0</c:formatCode>
                <c:ptCount val="11"/>
                <c:pt idx="0">
                  <c:v>2.3072072028673003</c:v>
                </c:pt>
                <c:pt idx="1">
                  <c:v>4.6381818591941002</c:v>
                </c:pt>
                <c:pt idx="2">
                  <c:v>5.3115410610299998</c:v>
                </c:pt>
                <c:pt idx="3">
                  <c:v>6.1</c:v>
                </c:pt>
                <c:pt idx="4">
                  <c:v>13.399051871774001</c:v>
                </c:pt>
                <c:pt idx="5">
                  <c:v>35.647435285744997</c:v>
                </c:pt>
                <c:pt idx="6">
                  <c:v>26.681719855669002</c:v>
                </c:pt>
                <c:pt idx="7">
                  <c:v>23.383429704786</c:v>
                </c:pt>
                <c:pt idx="8">
                  <c:v>28.92647163701</c:v>
                </c:pt>
                <c:pt idx="9">
                  <c:v>51</c:v>
                </c:pt>
                <c:pt idx="10">
                  <c:v>5.4</c:v>
                </c:pt>
              </c:numCache>
            </c:numRef>
          </c:val>
        </c:ser>
        <c:ser>
          <c:idx val="2"/>
          <c:order val="2"/>
          <c:tx>
            <c:strRef>
              <c:f>'12'!$B$8</c:f>
              <c:strCache>
                <c:ptCount val="1"/>
                <c:pt idx="0">
                  <c:v>Объем погашения БПИФ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'12'!$C$5:$M$5</c:f>
              <c:strCache>
                <c:ptCount val="11"/>
                <c:pt idx="0">
                  <c:v>II кв. 2019</c:v>
                </c:pt>
                <c:pt idx="1">
                  <c:v>III кв. 2019</c:v>
                </c:pt>
                <c:pt idx="2">
                  <c:v>IV кв. 2019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  <c:pt idx="10">
                  <c:v>II кв. 2022</c:v>
                </c:pt>
              </c:strCache>
            </c:strRef>
          </c:cat>
          <c:val>
            <c:numRef>
              <c:f>'12'!$C$8:$M$8</c:f>
              <c:numCache>
                <c:formatCode>0.0</c:formatCode>
                <c:ptCount val="11"/>
                <c:pt idx="0">
                  <c:v>3.2426325000000001E-4</c:v>
                </c:pt>
                <c:pt idx="1">
                  <c:v>4.8338370999999991E-2</c:v>
                </c:pt>
                <c:pt idx="2">
                  <c:v>0.25146858626099999</c:v>
                </c:pt>
                <c:pt idx="3">
                  <c:v>0.1</c:v>
                </c:pt>
                <c:pt idx="4">
                  <c:v>0.11767237104</c:v>
                </c:pt>
                <c:pt idx="5">
                  <c:v>0.49626536328800003</c:v>
                </c:pt>
                <c:pt idx="6">
                  <c:v>1.1764693926500001</c:v>
                </c:pt>
                <c:pt idx="7">
                  <c:v>5.5372397103940001</c:v>
                </c:pt>
                <c:pt idx="8">
                  <c:v>1.9995128026819999</c:v>
                </c:pt>
                <c:pt idx="9">
                  <c:v>1.4</c:v>
                </c:pt>
                <c:pt idx="10">
                  <c:v>9.6999999999999993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080576"/>
        <c:axId val="305086464"/>
      </c:barChart>
      <c:lineChart>
        <c:grouping val="standard"/>
        <c:varyColors val="0"/>
        <c:ser>
          <c:idx val="0"/>
          <c:order val="0"/>
          <c:tx>
            <c:strRef>
              <c:f>'12'!$B$6</c:f>
              <c:strCache>
                <c:ptCount val="1"/>
                <c:pt idx="0">
                  <c:v>Нетто-приток/отток БПИФ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'12'!$C$5:$M$5</c:f>
              <c:strCache>
                <c:ptCount val="11"/>
                <c:pt idx="0">
                  <c:v>II кв. 2019</c:v>
                </c:pt>
                <c:pt idx="1">
                  <c:v>III кв. 2019</c:v>
                </c:pt>
                <c:pt idx="2">
                  <c:v>IV кв. 2019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  <c:pt idx="10">
                  <c:v>II кв. 2022</c:v>
                </c:pt>
              </c:strCache>
            </c:strRef>
          </c:cat>
          <c:val>
            <c:numRef>
              <c:f>'12'!$C$6:$M$6</c:f>
              <c:numCache>
                <c:formatCode>0.0</c:formatCode>
                <c:ptCount val="11"/>
                <c:pt idx="0">
                  <c:v>2.3068829396173003</c:v>
                </c:pt>
                <c:pt idx="1">
                  <c:v>4.5898434881941004</c:v>
                </c:pt>
                <c:pt idx="2">
                  <c:v>5.060072474769</c:v>
                </c:pt>
                <c:pt idx="3">
                  <c:v>6.1</c:v>
                </c:pt>
                <c:pt idx="4">
                  <c:v>13.281379500733999</c:v>
                </c:pt>
                <c:pt idx="5">
                  <c:v>35.151169922457001</c:v>
                </c:pt>
                <c:pt idx="6">
                  <c:v>25.505250463018999</c:v>
                </c:pt>
                <c:pt idx="7">
                  <c:v>17.846189994391999</c:v>
                </c:pt>
                <c:pt idx="8">
                  <c:v>26.926958834328001</c:v>
                </c:pt>
                <c:pt idx="9">
                  <c:v>49.6</c:v>
                </c:pt>
                <c:pt idx="10">
                  <c:v>-4.3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'12'!$B$9</c:f>
              <c:strCache>
                <c:ptCount val="1"/>
                <c:pt idx="0">
                  <c:v>Прирост СЧА БПИФ за квартал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'12'!$C$5:$M$5</c:f>
              <c:strCache>
                <c:ptCount val="11"/>
                <c:pt idx="0">
                  <c:v>II кв. 2019</c:v>
                </c:pt>
                <c:pt idx="1">
                  <c:v>III кв. 2019</c:v>
                </c:pt>
                <c:pt idx="2">
                  <c:v>IV кв. 2019</c:v>
                </c:pt>
                <c:pt idx="3">
                  <c:v>II кв. 2020</c:v>
                </c:pt>
                <c:pt idx="4">
                  <c:v>III кв. 2020</c:v>
                </c:pt>
                <c:pt idx="5">
                  <c:v>IV кв. 2020</c:v>
                </c:pt>
                <c:pt idx="6">
                  <c:v>I кв. 2021</c:v>
                </c:pt>
                <c:pt idx="7">
                  <c:v>II кв. 2021</c:v>
                </c:pt>
                <c:pt idx="8">
                  <c:v>III кв. 2021</c:v>
                </c:pt>
                <c:pt idx="9">
                  <c:v>IV кв. 2021</c:v>
                </c:pt>
                <c:pt idx="10">
                  <c:v>II кв. 2022</c:v>
                </c:pt>
              </c:strCache>
            </c:strRef>
          </c:cat>
          <c:val>
            <c:numRef>
              <c:f>'12'!$C$9:$M$9</c:f>
              <c:numCache>
                <c:formatCode>0.0</c:formatCode>
                <c:ptCount val="11"/>
                <c:pt idx="1">
                  <c:v>4.9133132283099998</c:v>
                </c:pt>
                <c:pt idx="2">
                  <c:v>5.7609329899103976</c:v>
                </c:pt>
                <c:pt idx="3">
                  <c:v>7.9483730770387995</c:v>
                </c:pt>
                <c:pt idx="4">
                  <c:v>16.534950854170997</c:v>
                </c:pt>
                <c:pt idx="5">
                  <c:v>37.598194916516704</c:v>
                </c:pt>
                <c:pt idx="6">
                  <c:v>26.224756123082393</c:v>
                </c:pt>
                <c:pt idx="7">
                  <c:v>20.979304039260999</c:v>
                </c:pt>
                <c:pt idx="8">
                  <c:v>28.398802398583008</c:v>
                </c:pt>
                <c:pt idx="9">
                  <c:v>51.5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5080576"/>
        <c:axId val="305086464"/>
      </c:lineChart>
      <c:catAx>
        <c:axId val="30508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5086464"/>
        <c:crosses val="autoZero"/>
        <c:auto val="1"/>
        <c:lblAlgn val="ctr"/>
        <c:lblOffset val="100"/>
        <c:noMultiLvlLbl val="0"/>
      </c:catAx>
      <c:valAx>
        <c:axId val="30508646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5080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Динамика активов ПИФов в России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Врезка1!$F$68:$G$68</c:f>
              <c:strCache>
                <c:ptCount val="1"/>
                <c:pt idx="0">
                  <c:v>Активы трлн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Врезка1!$H$67:$AB$67</c:f>
              <c:strCache>
                <c:ptCount val="21"/>
                <c:pt idx="0">
                  <c:v> 30.06.2014</c:v>
                </c:pt>
                <c:pt idx="1">
                  <c:v> 30.09.2014</c:v>
                </c:pt>
                <c:pt idx="2">
                  <c:v>31.12.2014</c:v>
                </c:pt>
                <c:pt idx="3">
                  <c:v> 31.03.2015</c:v>
                </c:pt>
                <c:pt idx="4">
                  <c:v> 30.06.2015 </c:v>
                </c:pt>
                <c:pt idx="5">
                  <c:v>30.09.2015</c:v>
                </c:pt>
                <c:pt idx="6">
                  <c:v>31.12.2015</c:v>
                </c:pt>
                <c:pt idx="7">
                  <c:v> 31.03.2016</c:v>
                </c:pt>
                <c:pt idx="8">
                  <c:v> 30.06.2016 </c:v>
                </c:pt>
                <c:pt idx="9">
                  <c:v>30.09.2016</c:v>
                </c:pt>
                <c:pt idx="10">
                  <c:v>31.12.2016</c:v>
                </c:pt>
                <c:pt idx="11">
                  <c:v> 31.03.2017 </c:v>
                </c:pt>
                <c:pt idx="12">
                  <c:v> 30.06.2017 </c:v>
                </c:pt>
                <c:pt idx="13">
                  <c:v>30.09.2017</c:v>
                </c:pt>
                <c:pt idx="14">
                  <c:v> 31.12.2017</c:v>
                </c:pt>
                <c:pt idx="15">
                  <c:v>31.03.2018</c:v>
                </c:pt>
                <c:pt idx="16">
                  <c:v>30.06.2018</c:v>
                </c:pt>
                <c:pt idx="17">
                  <c:v>30.09.2018</c:v>
                </c:pt>
                <c:pt idx="18">
                  <c:v>31.12.2018</c:v>
                </c:pt>
                <c:pt idx="19">
                  <c:v>31.03.2019</c:v>
                </c:pt>
                <c:pt idx="20">
                  <c:v>30.06.2019</c:v>
                </c:pt>
              </c:strCache>
            </c:strRef>
          </c:cat>
          <c:val>
            <c:numRef>
              <c:f>Врезка1!$H$68:$AB$68</c:f>
              <c:numCache>
                <c:formatCode>#,##0.00</c:formatCode>
                <c:ptCount val="21"/>
                <c:pt idx="0">
                  <c:v>2181279.9</c:v>
                </c:pt>
                <c:pt idx="1">
                  <c:v>2265093.9</c:v>
                </c:pt>
                <c:pt idx="2">
                  <c:v>2408876.1</c:v>
                </c:pt>
                <c:pt idx="3">
                  <c:v>2452972.7999999998</c:v>
                </c:pt>
                <c:pt idx="4">
                  <c:v>2538942.7999999998</c:v>
                </c:pt>
                <c:pt idx="5">
                  <c:v>2560322.5</c:v>
                </c:pt>
                <c:pt idx="6">
                  <c:v>2674997</c:v>
                </c:pt>
                <c:pt idx="7">
                  <c:v>2680200.6</c:v>
                </c:pt>
                <c:pt idx="8">
                  <c:v>2618125.1</c:v>
                </c:pt>
                <c:pt idx="9">
                  <c:v>2675068.2999999998</c:v>
                </c:pt>
                <c:pt idx="10" formatCode="#,##0.0">
                  <c:v>2835195.3</c:v>
                </c:pt>
                <c:pt idx="11" formatCode="#,##0.0">
                  <c:v>3033530</c:v>
                </c:pt>
                <c:pt idx="12" formatCode="#,##0.0">
                  <c:v>2955539</c:v>
                </c:pt>
                <c:pt idx="13" formatCode="#,##0.0">
                  <c:v>3036162.7</c:v>
                </c:pt>
                <c:pt idx="14" formatCode="#,##0.0">
                  <c:v>3309166.8</c:v>
                </c:pt>
                <c:pt idx="15" formatCode="#,##0.0">
                  <c:v>3355096.8676818702</c:v>
                </c:pt>
                <c:pt idx="16" formatCode="#,##0.0">
                  <c:v>3447038.845664137</c:v>
                </c:pt>
                <c:pt idx="17" formatCode="#,##0.0">
                  <c:v>3555383.852018855</c:v>
                </c:pt>
                <c:pt idx="18" formatCode="#,##0.0">
                  <c:v>3665545.9961449476</c:v>
                </c:pt>
                <c:pt idx="19" formatCode="#,##0.0">
                  <c:v>3746202.7885540049</c:v>
                </c:pt>
                <c:pt idx="20" formatCode="General">
                  <c:v>3946037.3963582856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05179264"/>
        <c:axId val="305185152"/>
      </c:barChart>
      <c:lineChart>
        <c:grouping val="standard"/>
        <c:varyColors val="0"/>
        <c:ser>
          <c:idx val="1"/>
          <c:order val="1"/>
          <c:tx>
            <c:strRef>
              <c:f>Врезка1!$F$69:$G$69</c:f>
              <c:strCache>
                <c:ptCount val="1"/>
                <c:pt idx="0">
                  <c:v>Отношение активов к ВВП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Врезка1!$H$67:$AB$67</c:f>
              <c:strCache>
                <c:ptCount val="21"/>
                <c:pt idx="0">
                  <c:v> 30.06.2014</c:v>
                </c:pt>
                <c:pt idx="1">
                  <c:v> 30.09.2014</c:v>
                </c:pt>
                <c:pt idx="2">
                  <c:v>31.12.2014</c:v>
                </c:pt>
                <c:pt idx="3">
                  <c:v> 31.03.2015</c:v>
                </c:pt>
                <c:pt idx="4">
                  <c:v> 30.06.2015 </c:v>
                </c:pt>
                <c:pt idx="5">
                  <c:v>30.09.2015</c:v>
                </c:pt>
                <c:pt idx="6">
                  <c:v>31.12.2015</c:v>
                </c:pt>
                <c:pt idx="7">
                  <c:v> 31.03.2016</c:v>
                </c:pt>
                <c:pt idx="8">
                  <c:v> 30.06.2016 </c:v>
                </c:pt>
                <c:pt idx="9">
                  <c:v>30.09.2016</c:v>
                </c:pt>
                <c:pt idx="10">
                  <c:v>31.12.2016</c:v>
                </c:pt>
                <c:pt idx="11">
                  <c:v> 31.03.2017 </c:v>
                </c:pt>
                <c:pt idx="12">
                  <c:v> 30.06.2017 </c:v>
                </c:pt>
                <c:pt idx="13">
                  <c:v>30.09.2017</c:v>
                </c:pt>
                <c:pt idx="14">
                  <c:v> 31.12.2017</c:v>
                </c:pt>
                <c:pt idx="15">
                  <c:v>31.03.2018</c:v>
                </c:pt>
                <c:pt idx="16">
                  <c:v>30.06.2018</c:v>
                </c:pt>
                <c:pt idx="17">
                  <c:v>30.09.2018</c:v>
                </c:pt>
                <c:pt idx="18">
                  <c:v>31.12.2018</c:v>
                </c:pt>
                <c:pt idx="19">
                  <c:v>31.03.2019</c:v>
                </c:pt>
                <c:pt idx="20">
                  <c:v>30.06.2019</c:v>
                </c:pt>
              </c:strCache>
            </c:strRef>
          </c:cat>
          <c:val>
            <c:numRef>
              <c:f>Врезка1!$H$69:$AB$69</c:f>
              <c:numCache>
                <c:formatCode>General</c:formatCode>
                <c:ptCount val="21"/>
                <c:pt idx="0">
                  <c:v>3.2</c:v>
                </c:pt>
                <c:pt idx="1">
                  <c:v>3.2</c:v>
                </c:pt>
                <c:pt idx="2">
                  <c:v>3.4</c:v>
                </c:pt>
                <c:pt idx="3">
                  <c:v>3.4</c:v>
                </c:pt>
                <c:pt idx="4">
                  <c:v>3.5</c:v>
                </c:pt>
                <c:pt idx="5">
                  <c:v>3.5</c:v>
                </c:pt>
                <c:pt idx="6">
                  <c:v>3.3</c:v>
                </c:pt>
                <c:pt idx="7">
                  <c:v>3.3</c:v>
                </c:pt>
                <c:pt idx="8">
                  <c:v>3.2</c:v>
                </c:pt>
                <c:pt idx="9">
                  <c:v>3.2</c:v>
                </c:pt>
                <c:pt idx="10" formatCode="#,##0.0">
                  <c:v>3.3</c:v>
                </c:pt>
                <c:pt idx="11" formatCode="#,##0.0">
                  <c:v>3.5</c:v>
                </c:pt>
                <c:pt idx="12" formatCode="#,##0.0">
                  <c:v>3.3</c:v>
                </c:pt>
                <c:pt idx="13" formatCode="#,##0.0">
                  <c:v>3.4</c:v>
                </c:pt>
                <c:pt idx="14" formatCode="#,##0.0">
                  <c:v>3.6</c:v>
                </c:pt>
                <c:pt idx="15" formatCode="#,##0.0">
                  <c:v>3.6165509311193813</c:v>
                </c:pt>
                <c:pt idx="16" formatCode="#,##0.0">
                  <c:v>3.5706438942244305</c:v>
                </c:pt>
                <c:pt idx="17" formatCode="#,##0.0">
                  <c:v>3.5697813288908051</c:v>
                </c:pt>
                <c:pt idx="18" formatCode="#,##0.0">
                  <c:v>3.53726482023378</c:v>
                </c:pt>
                <c:pt idx="19" formatCode="#,##0.0">
                  <c:v>3.5366616051778501</c:v>
                </c:pt>
                <c:pt idx="20">
                  <c:v>3.6779506074065234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5192960"/>
        <c:axId val="305187072"/>
      </c:lineChart>
      <c:catAx>
        <c:axId val="30517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5185152"/>
        <c:crosses val="autoZero"/>
        <c:auto val="1"/>
        <c:lblAlgn val="ctr"/>
        <c:lblOffset val="100"/>
        <c:noMultiLvlLbl val="0"/>
      </c:catAx>
      <c:valAx>
        <c:axId val="30518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5179264"/>
        <c:crosses val="autoZero"/>
        <c:crossBetween val="between"/>
        <c:dispUnits>
          <c:builtInUnit val="millions"/>
        </c:dispUnits>
      </c:valAx>
      <c:valAx>
        <c:axId val="3051870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5192960"/>
        <c:crosses val="max"/>
        <c:crossBetween val="between"/>
      </c:valAx>
      <c:catAx>
        <c:axId val="305192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51870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 активов ПИФов</a:t>
            </a:r>
            <a:r>
              <a:rPr lang="ru-RU" baseline="0"/>
              <a:t> в ВВП, %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Врезка1!$K$6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cat>
            <c:strRef>
              <c:f>Врезка1!$I$7:$I$32</c:f>
              <c:strCache>
                <c:ptCount val="26"/>
                <c:pt idx="0">
                  <c:v>Люксембург</c:v>
                </c:pt>
                <c:pt idx="1">
                  <c:v>США</c:v>
                </c:pt>
                <c:pt idx="2">
                  <c:v>Дания</c:v>
                </c:pt>
                <c:pt idx="3">
                  <c:v>Канада</c:v>
                </c:pt>
                <c:pt idx="4">
                  <c:v>Швеция</c:v>
                </c:pt>
                <c:pt idx="5">
                  <c:v>Франция</c:v>
                </c:pt>
                <c:pt idx="6">
                  <c:v>Германия</c:v>
                </c:pt>
                <c:pt idx="7">
                  <c:v>Финляндия</c:v>
                </c:pt>
                <c:pt idx="8">
                  <c:v>Австрия</c:v>
                </c:pt>
                <c:pt idx="9">
                  <c:v>Новая Зеландия</c:v>
                </c:pt>
                <c:pt idx="10">
                  <c:v>Бельгия</c:v>
                </c:pt>
                <c:pt idx="11">
                  <c:v>Япония</c:v>
                </c:pt>
                <c:pt idx="12">
                  <c:v>Исландия</c:v>
                </c:pt>
                <c:pt idx="13">
                  <c:v>Корея</c:v>
                </c:pt>
                <c:pt idx="14">
                  <c:v>Чили</c:v>
                </c:pt>
                <c:pt idx="15">
                  <c:v>Испания</c:v>
                </c:pt>
                <c:pt idx="16">
                  <c:v>Израиль</c:v>
                </c:pt>
                <c:pt idx="17">
                  <c:v>Италия</c:v>
                </c:pt>
                <c:pt idx="18">
                  <c:v>Венгрия </c:v>
                </c:pt>
                <c:pt idx="19">
                  <c:v>Чехия</c:v>
                </c:pt>
                <c:pt idx="20">
                  <c:v>Словения</c:v>
                </c:pt>
                <c:pt idx="21">
                  <c:v>Эстония</c:v>
                </c:pt>
                <c:pt idx="22">
                  <c:v>Россия</c:v>
                </c:pt>
                <c:pt idx="23">
                  <c:v>Греция</c:v>
                </c:pt>
                <c:pt idx="24">
                  <c:v>Турция</c:v>
                </c:pt>
                <c:pt idx="25">
                  <c:v>Литва</c:v>
                </c:pt>
              </c:strCache>
            </c:strRef>
          </c:cat>
          <c:val>
            <c:numRef>
              <c:f>Врезка1!$K$7:$K$32</c:f>
              <c:numCache>
                <c:formatCode>General</c:formatCode>
                <c:ptCount val="26"/>
                <c:pt idx="0">
                  <c:v>120</c:v>
                </c:pt>
                <c:pt idx="1">
                  <c:v>118.9</c:v>
                </c:pt>
                <c:pt idx="2">
                  <c:v>110.7</c:v>
                </c:pt>
                <c:pt idx="3">
                  <c:v>102.6</c:v>
                </c:pt>
                <c:pt idx="4">
                  <c:v>87.3</c:v>
                </c:pt>
                <c:pt idx="5">
                  <c:v>77.5</c:v>
                </c:pt>
                <c:pt idx="6">
                  <c:v>61.1</c:v>
                </c:pt>
                <c:pt idx="7">
                  <c:v>59.2</c:v>
                </c:pt>
                <c:pt idx="8">
                  <c:v>48.7</c:v>
                </c:pt>
                <c:pt idx="9">
                  <c:v>48.6</c:v>
                </c:pt>
                <c:pt idx="10">
                  <c:v>41.3</c:v>
                </c:pt>
                <c:pt idx="11">
                  <c:v>38</c:v>
                </c:pt>
                <c:pt idx="12">
                  <c:v>31.5</c:v>
                </c:pt>
                <c:pt idx="13">
                  <c:v>31.4</c:v>
                </c:pt>
                <c:pt idx="14">
                  <c:v>27.1</c:v>
                </c:pt>
                <c:pt idx="15">
                  <c:v>25.9</c:v>
                </c:pt>
                <c:pt idx="16">
                  <c:v>19.100000000000001</c:v>
                </c:pt>
                <c:pt idx="17">
                  <c:v>16.399999999999999</c:v>
                </c:pt>
                <c:pt idx="18">
                  <c:v>15.2</c:v>
                </c:pt>
                <c:pt idx="19">
                  <c:v>8.1</c:v>
                </c:pt>
                <c:pt idx="20">
                  <c:v>6.2</c:v>
                </c:pt>
                <c:pt idx="21">
                  <c:v>4.7</c:v>
                </c:pt>
                <c:pt idx="22">
                  <c:v>3.6</c:v>
                </c:pt>
                <c:pt idx="23">
                  <c:v>2.4</c:v>
                </c:pt>
                <c:pt idx="24">
                  <c:v>1.8</c:v>
                </c:pt>
                <c:pt idx="25">
                  <c:v>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10800384"/>
        <c:axId val="310801920"/>
      </c:barChart>
      <c:catAx>
        <c:axId val="3108003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0801920"/>
        <c:crosses val="autoZero"/>
        <c:auto val="1"/>
        <c:lblAlgn val="ctr"/>
        <c:lblOffset val="100"/>
        <c:noMultiLvlLbl val="0"/>
      </c:catAx>
      <c:valAx>
        <c:axId val="310801920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0800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</a:t>
            </a:r>
            <a:r>
              <a:rPr lang="ru-RU" baseline="0"/>
              <a:t> ОПИФов, %</a:t>
            </a:r>
            <a:endParaRPr lang="ru-RU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cat>
            <c:strRef>
              <c:f>Врезка1!$X$7:$X$23</c:f>
              <c:strCache>
                <c:ptCount val="17"/>
                <c:pt idx="0">
                  <c:v>Германия</c:v>
                </c:pt>
                <c:pt idx="1">
                  <c:v>Чехия</c:v>
                </c:pt>
                <c:pt idx="2">
                  <c:v>Словения</c:v>
                </c:pt>
                <c:pt idx="3">
                  <c:v>Испания</c:v>
                </c:pt>
                <c:pt idx="4">
                  <c:v>Бельгия</c:v>
                </c:pt>
                <c:pt idx="5">
                  <c:v>Италия</c:v>
                </c:pt>
                <c:pt idx="6">
                  <c:v>Люксембург</c:v>
                </c:pt>
                <c:pt idx="7">
                  <c:v>США</c:v>
                </c:pt>
                <c:pt idx="8">
                  <c:v>Франция</c:v>
                </c:pt>
                <c:pt idx="9">
                  <c:v>Греция</c:v>
                </c:pt>
                <c:pt idx="10">
                  <c:v>Турция</c:v>
                </c:pt>
                <c:pt idx="11">
                  <c:v>Польша</c:v>
                </c:pt>
                <c:pt idx="12">
                  <c:v>Чили</c:v>
                </c:pt>
                <c:pt idx="13">
                  <c:v>Исландия</c:v>
                </c:pt>
                <c:pt idx="14">
                  <c:v>Эстония</c:v>
                </c:pt>
                <c:pt idx="15">
                  <c:v>Литва</c:v>
                </c:pt>
                <c:pt idx="16">
                  <c:v>Россия</c:v>
                </c:pt>
              </c:strCache>
            </c:strRef>
          </c:cat>
          <c:val>
            <c:numRef>
              <c:f>Врезка1!$Z$7:$Z$23</c:f>
              <c:numCache>
                <c:formatCode>0%</c:formatCode>
                <c:ptCount val="17"/>
                <c:pt idx="0">
                  <c:v>0.998</c:v>
                </c:pt>
                <c:pt idx="1">
                  <c:v>0.99642625878105251</c:v>
                </c:pt>
                <c:pt idx="2">
                  <c:v>0.97900000000000009</c:v>
                </c:pt>
                <c:pt idx="3">
                  <c:v>0.97900000000000009</c:v>
                </c:pt>
                <c:pt idx="4">
                  <c:v>0.97602982954545459</c:v>
                </c:pt>
                <c:pt idx="5">
                  <c:v>0.91827873770311386</c:v>
                </c:pt>
                <c:pt idx="6">
                  <c:v>0.9175064394888609</c:v>
                </c:pt>
                <c:pt idx="7">
                  <c:v>0.83299999999999996</c:v>
                </c:pt>
                <c:pt idx="8">
                  <c:v>0.8025478244624461</c:v>
                </c:pt>
                <c:pt idx="9">
                  <c:v>0.73799999999999999</c:v>
                </c:pt>
                <c:pt idx="10">
                  <c:v>0.71700000000000008</c:v>
                </c:pt>
                <c:pt idx="11">
                  <c:v>0.504</c:v>
                </c:pt>
                <c:pt idx="12">
                  <c:v>0.41813939350880164</c:v>
                </c:pt>
                <c:pt idx="13">
                  <c:v>0.41100000000000003</c:v>
                </c:pt>
                <c:pt idx="14">
                  <c:v>0.36446056210335448</c:v>
                </c:pt>
                <c:pt idx="15">
                  <c:v>0.33100000000000002</c:v>
                </c:pt>
                <c:pt idx="16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10826496"/>
        <c:axId val="310828032"/>
      </c:barChart>
      <c:catAx>
        <c:axId val="310826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0828032"/>
        <c:crosses val="autoZero"/>
        <c:auto val="1"/>
        <c:lblAlgn val="ctr"/>
        <c:lblOffset val="100"/>
        <c:noMultiLvlLbl val="0"/>
      </c:catAx>
      <c:valAx>
        <c:axId val="31082803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0826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Доля банковских депозитов в ВВП, %</a:t>
            </a:r>
          </a:p>
        </c:rich>
      </c:tx>
      <c:layout>
        <c:manualLayout>
          <c:xMode val="edge"/>
          <c:yMode val="edge"/>
          <c:x val="0.20139620398459487"/>
          <c:y val="6.3145108702813016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6408309564979306"/>
          <c:y val="7.6058283432538287E-2"/>
          <c:w val="0.79299967273218275"/>
          <c:h val="0.8506988597335822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cat>
            <c:strRef>
              <c:f>Врезка1!$M$7:$M$30</c:f>
              <c:strCache>
                <c:ptCount val="24"/>
                <c:pt idx="0">
                  <c:v>Люксембург</c:v>
                </c:pt>
                <c:pt idx="1">
                  <c:v>Япония</c:v>
                </c:pt>
                <c:pt idx="2">
                  <c:v>Корея</c:v>
                </c:pt>
                <c:pt idx="3">
                  <c:v>Бельгия</c:v>
                </c:pt>
                <c:pt idx="4">
                  <c:v>Испания</c:v>
                </c:pt>
                <c:pt idx="5">
                  <c:v>США</c:v>
                </c:pt>
                <c:pt idx="6">
                  <c:v>Германия</c:v>
                </c:pt>
                <c:pt idx="7">
                  <c:v>Австрия</c:v>
                </c:pt>
                <c:pt idx="8">
                  <c:v>Италия</c:v>
                </c:pt>
                <c:pt idx="9">
                  <c:v>Франция</c:v>
                </c:pt>
                <c:pt idx="10">
                  <c:v>Израиль</c:v>
                </c:pt>
                <c:pt idx="11">
                  <c:v>Греция</c:v>
                </c:pt>
                <c:pt idx="12">
                  <c:v>Чехия</c:v>
                </c:pt>
                <c:pt idx="13">
                  <c:v>Финляндия</c:v>
                </c:pt>
                <c:pt idx="14">
                  <c:v>Исландия</c:v>
                </c:pt>
                <c:pt idx="15">
                  <c:v>Швеция</c:v>
                </c:pt>
                <c:pt idx="16">
                  <c:v>Эстония</c:v>
                </c:pt>
                <c:pt idx="17">
                  <c:v>Дания</c:v>
                </c:pt>
                <c:pt idx="18">
                  <c:v>Словения</c:v>
                </c:pt>
                <c:pt idx="19">
                  <c:v>Чили</c:v>
                </c:pt>
                <c:pt idx="20">
                  <c:v>Россия</c:v>
                </c:pt>
                <c:pt idx="21">
                  <c:v>Турция</c:v>
                </c:pt>
                <c:pt idx="22">
                  <c:v>Венгрия </c:v>
                </c:pt>
                <c:pt idx="23">
                  <c:v>Литва</c:v>
                </c:pt>
              </c:strCache>
            </c:strRef>
          </c:cat>
          <c:val>
            <c:numRef>
              <c:f>Врезка1!$N$7:$N$30</c:f>
              <c:numCache>
                <c:formatCode>General</c:formatCode>
                <c:ptCount val="24"/>
                <c:pt idx="0" formatCode="0.0">
                  <c:v>399.887</c:v>
                </c:pt>
                <c:pt idx="1">
                  <c:v>218.22499999999999</c:v>
                </c:pt>
                <c:pt idx="2">
                  <c:v>130.28800000000001</c:v>
                </c:pt>
                <c:pt idx="3">
                  <c:v>110.648</c:v>
                </c:pt>
                <c:pt idx="4">
                  <c:v>96.845399999999998</c:v>
                </c:pt>
                <c:pt idx="5" formatCode="0.0">
                  <c:v>81.314099999999996</c:v>
                </c:pt>
                <c:pt idx="6">
                  <c:v>81.112200000000001</c:v>
                </c:pt>
                <c:pt idx="7">
                  <c:v>80.567499999999995</c:v>
                </c:pt>
                <c:pt idx="8">
                  <c:v>79.652799999999999</c:v>
                </c:pt>
                <c:pt idx="9">
                  <c:v>79.015500000000003</c:v>
                </c:pt>
                <c:pt idx="10">
                  <c:v>72.318600000000004</c:v>
                </c:pt>
                <c:pt idx="11">
                  <c:v>71.928299999999993</c:v>
                </c:pt>
                <c:pt idx="12">
                  <c:v>67.556899999999999</c:v>
                </c:pt>
                <c:pt idx="13">
                  <c:v>66.679599999999994</c:v>
                </c:pt>
                <c:pt idx="14">
                  <c:v>66.564700000000002</c:v>
                </c:pt>
                <c:pt idx="15">
                  <c:v>64.896299999999997</c:v>
                </c:pt>
                <c:pt idx="16">
                  <c:v>61.299199999999999</c:v>
                </c:pt>
                <c:pt idx="17" formatCode="0.0">
                  <c:v>55.413699999999999</c:v>
                </c:pt>
                <c:pt idx="18">
                  <c:v>54.593000000000004</c:v>
                </c:pt>
                <c:pt idx="19">
                  <c:v>54.059199999999997</c:v>
                </c:pt>
                <c:pt idx="20">
                  <c:v>48.2</c:v>
                </c:pt>
                <c:pt idx="21">
                  <c:v>46.334899999999998</c:v>
                </c:pt>
                <c:pt idx="22">
                  <c:v>45.733800000000002</c:v>
                </c:pt>
                <c:pt idx="23">
                  <c:v>43.359099999999998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10922624"/>
        <c:axId val="310932608"/>
      </c:barChart>
      <c:catAx>
        <c:axId val="3109226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0932608"/>
        <c:crosses val="autoZero"/>
        <c:auto val="1"/>
        <c:lblAlgn val="ctr"/>
        <c:lblOffset val="100"/>
        <c:noMultiLvlLbl val="0"/>
      </c:catAx>
      <c:valAx>
        <c:axId val="310932608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0922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13670166229222"/>
          <c:y val="0.125"/>
          <c:w val="0.82286329833770766"/>
          <c:h val="0.59514581510644504"/>
        </c:manualLayout>
      </c:layout>
      <c:lineChart>
        <c:grouping val="standard"/>
        <c:varyColors val="0"/>
        <c:ser>
          <c:idx val="0"/>
          <c:order val="0"/>
          <c:tx>
            <c:strRef>
              <c:f>Врезка2!$K$12</c:f>
              <c:strCache>
                <c:ptCount val="1"/>
                <c:pt idx="0">
                  <c:v>Темпы прироста объемов депозитов физических лиц в рублях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Врезка2!$M$11:$P$11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Врезка2!$M$12:$P$12</c:f>
              <c:numCache>
                <c:formatCode>0.0%</c:formatCode>
                <c:ptCount val="4"/>
                <c:pt idx="0">
                  <c:v>0.37234822434332782</c:v>
                </c:pt>
                <c:pt idx="1">
                  <c:v>1.9349992436876517</c:v>
                </c:pt>
                <c:pt idx="2">
                  <c:v>0.11740979979799682</c:v>
                </c:pt>
                <c:pt idx="3">
                  <c:v>8.2728680971742019E-2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Врезка2!$K$14</c:f>
              <c:strCache>
                <c:ptCount val="1"/>
                <c:pt idx="0">
                  <c:v>Темпы прироста СЧА ОПИФов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Врезка2!$M$11:$P$11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Врезка2!$M$14:$P$14</c:f>
              <c:numCache>
                <c:formatCode>0.0%</c:formatCode>
                <c:ptCount val="4"/>
                <c:pt idx="0">
                  <c:v>0.29005567901335794</c:v>
                </c:pt>
                <c:pt idx="1">
                  <c:v>0.18779165800224651</c:v>
                </c:pt>
                <c:pt idx="2">
                  <c:v>0.66528777143416318</c:v>
                </c:pt>
                <c:pt idx="3">
                  <c:v>0.44771593039104651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081408"/>
        <c:axId val="374082944"/>
      </c:lineChart>
      <c:catAx>
        <c:axId val="37408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082944"/>
        <c:crosses val="autoZero"/>
        <c:auto val="1"/>
        <c:lblAlgn val="ctr"/>
        <c:lblOffset val="100"/>
        <c:noMultiLvlLbl val="0"/>
      </c:catAx>
      <c:valAx>
        <c:axId val="37408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081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Динамика</a:t>
            </a:r>
            <a:r>
              <a:rPr lang="ru-RU" baseline="0"/>
              <a:t> ставок по депозитам и доходности ОПИФов</a:t>
            </a:r>
            <a:endParaRPr lang="ru-RU"/>
          </a:p>
        </c:rich>
      </c:tx>
      <c:layout>
        <c:manualLayout>
          <c:xMode val="edge"/>
          <c:yMode val="edge"/>
          <c:x val="0.11220122484689414"/>
          <c:y val="4.1666666666666664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Врезка2!$K$13</c:f>
              <c:strCache>
                <c:ptCount val="1"/>
                <c:pt idx="0">
                  <c:v>Ставки по депозитам физических лиц от 1 года до 3 лет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Врезка2!$L$11:$P$11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Врезка2!$L$13:$P$13</c:f>
              <c:numCache>
                <c:formatCode>0.00%</c:formatCode>
                <c:ptCount val="5"/>
                <c:pt idx="0">
                  <c:v>8.1000000000000003E-2</c:v>
                </c:pt>
                <c:pt idx="1">
                  <c:v>0.10199999999999999</c:v>
                </c:pt>
                <c:pt idx="2">
                  <c:v>8.4000000000000005E-2</c:v>
                </c:pt>
                <c:pt idx="3" formatCode="0%">
                  <c:v>7.0000000000000007E-2</c:v>
                </c:pt>
                <c:pt idx="4">
                  <c:v>6.2E-2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Врезка2!$K$15</c:f>
              <c:strCache>
                <c:ptCount val="1"/>
                <c:pt idx="0">
                  <c:v>Доходность ОПИФов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Врезка2!$L$11:$P$11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Врезка2!$L$15:$P$15</c:f>
              <c:numCache>
                <c:formatCode>0.00%</c:formatCode>
                <c:ptCount val="5"/>
                <c:pt idx="0">
                  <c:v>3.9E-2</c:v>
                </c:pt>
                <c:pt idx="1">
                  <c:v>0.27300000000000002</c:v>
                </c:pt>
                <c:pt idx="2">
                  <c:v>5.5E-2</c:v>
                </c:pt>
                <c:pt idx="3">
                  <c:v>9.4E-2</c:v>
                </c:pt>
                <c:pt idx="4">
                  <c:v>7.2999999999999995E-2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112640"/>
        <c:axId val="374114176"/>
      </c:lineChart>
      <c:catAx>
        <c:axId val="374112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114176"/>
        <c:crosses val="autoZero"/>
        <c:auto val="1"/>
        <c:lblAlgn val="ctr"/>
        <c:lblOffset val="100"/>
        <c:noMultiLvlLbl val="0"/>
      </c:catAx>
      <c:valAx>
        <c:axId val="37411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74112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Архив!$B$5</c:f>
              <c:strCache>
                <c:ptCount val="1"/>
                <c:pt idx="0">
                  <c:v>Индексный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Архив!$J$5:$P$5</c:f>
              <c:numCache>
                <c:formatCode>#,##0.0</c:formatCode>
                <c:ptCount val="7"/>
                <c:pt idx="0">
                  <c:v>2442.0665601199994</c:v>
                </c:pt>
                <c:pt idx="1">
                  <c:v>2323.9338963099999</c:v>
                </c:pt>
                <c:pt idx="2">
                  <c:v>1049.7456100200002</c:v>
                </c:pt>
              </c:numCache>
            </c:numRef>
          </c:val>
        </c:ser>
        <c:ser>
          <c:idx val="1"/>
          <c:order val="1"/>
          <c:tx>
            <c:strRef>
              <c:f>Архив!$B$6</c:f>
              <c:strCache>
                <c:ptCount val="1"/>
                <c:pt idx="0">
                  <c:v>Денежного рынка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Архив!$J$6:$Q$6</c:f>
              <c:numCache>
                <c:formatCode>#,##0.0</c:formatCode>
                <c:ptCount val="8"/>
                <c:pt idx="0">
                  <c:v>1706.14044537</c:v>
                </c:pt>
                <c:pt idx="1">
                  <c:v>1412.7973975099997</c:v>
                </c:pt>
                <c:pt idx="2">
                  <c:v>1373.2373915799999</c:v>
                </c:pt>
                <c:pt idx="3">
                  <c:v>134.28737290000001</c:v>
                </c:pt>
                <c:pt idx="4">
                  <c:v>13.20828756</c:v>
                </c:pt>
                <c:pt idx="5">
                  <c:v>13.2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Архив!$B$7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Архив!$J$7:$Q$7</c:f>
              <c:numCache>
                <c:formatCode>#,##0.0</c:formatCode>
                <c:ptCount val="8"/>
                <c:pt idx="0">
                  <c:v>10246.651834190005</c:v>
                </c:pt>
                <c:pt idx="1">
                  <c:v>9561.7722548700003</c:v>
                </c:pt>
                <c:pt idx="2">
                  <c:v>4294.842016300001</c:v>
                </c:pt>
                <c:pt idx="3">
                  <c:v>21.714968719999998</c:v>
                </c:pt>
                <c:pt idx="4">
                  <c:v>21.954689740000003</c:v>
                </c:pt>
                <c:pt idx="5">
                  <c:v>21.9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Архив!$B$8</c:f>
              <c:strCache>
                <c:ptCount val="1"/>
                <c:pt idx="0">
                  <c:v>Фонд фондов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Архив!$J$8:$P$8</c:f>
              <c:numCache>
                <c:formatCode>#,##0.0</c:formatCode>
                <c:ptCount val="7"/>
                <c:pt idx="0">
                  <c:v>10905.356975049997</c:v>
                </c:pt>
                <c:pt idx="1">
                  <c:v>10728.598015409998</c:v>
                </c:pt>
                <c:pt idx="2">
                  <c:v>4754.6267788300011</c:v>
                </c:pt>
              </c:numCache>
            </c:numRef>
          </c:val>
        </c:ser>
        <c:ser>
          <c:idx val="4"/>
          <c:order val="4"/>
          <c:tx>
            <c:strRef>
              <c:f>Архив!$B$9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Архив!$J$9:$Q$9</c:f>
              <c:numCache>
                <c:formatCode>#,##0.0</c:formatCode>
                <c:ptCount val="8"/>
                <c:pt idx="0">
                  <c:v>35525.224648609998</c:v>
                </c:pt>
                <c:pt idx="1">
                  <c:v>33522.97242743001</c:v>
                </c:pt>
                <c:pt idx="2">
                  <c:v>28833.201838010002</c:v>
                </c:pt>
              </c:numCache>
            </c:numRef>
          </c:val>
        </c:ser>
        <c:ser>
          <c:idx val="5"/>
          <c:order val="5"/>
          <c:tx>
            <c:strRef>
              <c:f>Архив!$B$10</c:f>
              <c:strCache>
                <c:ptCount val="1"/>
                <c:pt idx="0">
                  <c:v>Рыночных фин. инструментов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Архив!$J$10:$Q$10</c:f>
              <c:numCache>
                <c:formatCode>#,##0.0</c:formatCode>
                <c:ptCount val="8"/>
                <c:pt idx="1">
                  <c:v>2622.96882293</c:v>
                </c:pt>
                <c:pt idx="2">
                  <c:v>73345.565746539971</c:v>
                </c:pt>
                <c:pt idx="3">
                  <c:v>217672.25804934005</c:v>
                </c:pt>
                <c:pt idx="4">
                  <c:v>259259.51835093024</c:v>
                </c:pt>
                <c:pt idx="5">
                  <c:v>303679.62362689205</c:v>
                </c:pt>
                <c:pt idx="6">
                  <c:v>317469.27602719434</c:v>
                </c:pt>
                <c:pt idx="7">
                  <c:v>315353.47123756667</c:v>
                </c:pt>
              </c:numCache>
            </c:numRef>
          </c:val>
        </c:ser>
        <c:ser>
          <c:idx val="6"/>
          <c:order val="6"/>
          <c:tx>
            <c:strRef>
              <c:f>Архив!$B$11</c:f>
              <c:strCache>
                <c:ptCount val="1"/>
                <c:pt idx="0">
                  <c:v>Облигаций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Архив!$J$4:$Q$4</c:f>
              <c:strCache>
                <c:ptCount val="8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</c:strCache>
            </c:strRef>
          </c:cat>
          <c:val>
            <c:numRef>
              <c:f>Архив!$J$11:$Q$11</c:f>
              <c:numCache>
                <c:formatCode>#,##0.0</c:formatCode>
                <c:ptCount val="8"/>
                <c:pt idx="0">
                  <c:v>80246.616145790002</c:v>
                </c:pt>
                <c:pt idx="1">
                  <c:v>102627.68795168</c:v>
                </c:pt>
                <c:pt idx="2">
                  <c:v>76871.80969200001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0586368"/>
        <c:axId val="310588160"/>
      </c:barChart>
      <c:catAx>
        <c:axId val="31058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0588160"/>
        <c:crosses val="autoZero"/>
        <c:auto val="1"/>
        <c:lblAlgn val="ctr"/>
        <c:lblOffset val="100"/>
        <c:noMultiLvlLbl val="0"/>
      </c:catAx>
      <c:valAx>
        <c:axId val="31058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058636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Структура активов ПИФов (трлн рублей)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'2'!$B$8</c:f>
              <c:strCache>
                <c:ptCount val="1"/>
                <c:pt idx="0">
                  <c:v>Акции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'2'!$C$7:$S$7</c:f>
              <c:strCache>
                <c:ptCount val="17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  <c:pt idx="16">
                  <c:v>II кв. 2022</c:v>
                </c:pt>
              </c:strCache>
            </c:strRef>
          </c:cat>
          <c:val>
            <c:numRef>
              <c:f>'2'!$C$8:$S$8</c:f>
              <c:numCache>
                <c:formatCode>0</c:formatCode>
                <c:ptCount val="17"/>
                <c:pt idx="0" formatCode="0.0">
                  <c:v>634.32853611635971</c:v>
                </c:pt>
                <c:pt idx="1">
                  <c:v>653.9</c:v>
                </c:pt>
                <c:pt idx="2">
                  <c:v>713.48142631858002</c:v>
                </c:pt>
                <c:pt idx="3">
                  <c:v>739.66426010111013</c:v>
                </c:pt>
                <c:pt idx="4">
                  <c:v>681.95624832864996</c:v>
                </c:pt>
                <c:pt idx="5">
                  <c:v>718</c:v>
                </c:pt>
                <c:pt idx="6">
                  <c:v>660.99560802156009</c:v>
                </c:pt>
                <c:pt idx="7">
                  <c:v>645.75374258394004</c:v>
                </c:pt>
                <c:pt idx="8">
                  <c:v>949.50433857167502</c:v>
                </c:pt>
                <c:pt idx="9">
                  <c:v>1100.99007541379</c:v>
                </c:pt>
                <c:pt idx="10">
                  <c:v>1131.2015012269198</c:v>
                </c:pt>
                <c:pt idx="11">
                  <c:v>1135.1005068868501</c:v>
                </c:pt>
                <c:pt idx="12">
                  <c:v>1498.46171457728</c:v>
                </c:pt>
                <c:pt idx="13">
                  <c:v>1695.0004688086301</c:v>
                </c:pt>
                <c:pt idx="14">
                  <c:v>1847.2736599996099</c:v>
                </c:pt>
                <c:pt idx="15">
                  <c:v>1967.0209889766152</c:v>
                </c:pt>
                <c:pt idx="16">
                  <c:v>1701.38575272141</c:v>
                </c:pt>
              </c:numCache>
            </c:numRef>
          </c:val>
        </c:ser>
        <c:ser>
          <c:idx val="1"/>
          <c:order val="1"/>
          <c:tx>
            <c:strRef>
              <c:f>'2'!$B$9</c:f>
              <c:strCache>
                <c:ptCount val="1"/>
                <c:pt idx="0">
                  <c:v>Прочие активы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'2'!$C$7:$S$7</c:f>
              <c:strCache>
                <c:ptCount val="17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  <c:pt idx="16">
                  <c:v>II кв. 2022</c:v>
                </c:pt>
              </c:strCache>
            </c:strRef>
          </c:cat>
          <c:val>
            <c:numRef>
              <c:f>'2'!$C$9:$S$9</c:f>
              <c:numCache>
                <c:formatCode>0</c:formatCode>
                <c:ptCount val="17"/>
                <c:pt idx="0" formatCode="0.0">
                  <c:v>1099.5755323247199</c:v>
                </c:pt>
                <c:pt idx="1">
                  <c:v>903.54442810269029</c:v>
                </c:pt>
                <c:pt idx="2">
                  <c:v>857.9178102652254</c:v>
                </c:pt>
                <c:pt idx="3">
                  <c:v>741.75386029454182</c:v>
                </c:pt>
                <c:pt idx="4">
                  <c:v>712.42068447574479</c:v>
                </c:pt>
                <c:pt idx="5">
                  <c:v>726.79999999999973</c:v>
                </c:pt>
                <c:pt idx="6">
                  <c:v>1021.4940192304559</c:v>
                </c:pt>
                <c:pt idx="7">
                  <c:v>1213.5111698240894</c:v>
                </c:pt>
                <c:pt idx="8">
                  <c:v>786.93603625491801</c:v>
                </c:pt>
                <c:pt idx="9">
                  <c:v>866.69867514119244</c:v>
                </c:pt>
                <c:pt idx="10">
                  <c:v>970.44848933409367</c:v>
                </c:pt>
                <c:pt idx="11">
                  <c:v>1010.2546886308221</c:v>
                </c:pt>
                <c:pt idx="12">
                  <c:v>1072.2243299011898</c:v>
                </c:pt>
                <c:pt idx="13">
                  <c:v>1157.3</c:v>
                </c:pt>
                <c:pt idx="14">
                  <c:v>1225.390206378908</c:v>
                </c:pt>
                <c:pt idx="15">
                  <c:v>1378.4617689822676</c:v>
                </c:pt>
                <c:pt idx="16">
                  <c:v>1639.6142472785905</c:v>
                </c:pt>
              </c:numCache>
            </c:numRef>
          </c:val>
        </c:ser>
        <c:ser>
          <c:idx val="2"/>
          <c:order val="2"/>
          <c:tx>
            <c:strRef>
              <c:f>'2'!$B$10</c:f>
              <c:strCache>
                <c:ptCount val="1"/>
                <c:pt idx="0">
                  <c:v>Недвижимость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'2'!$C$7:$S$7</c:f>
              <c:strCache>
                <c:ptCount val="17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  <c:pt idx="16">
                  <c:v>II кв. 2022</c:v>
                </c:pt>
              </c:strCache>
            </c:strRef>
          </c:cat>
          <c:val>
            <c:numRef>
              <c:f>'2'!$C$10:$S$10</c:f>
              <c:numCache>
                <c:formatCode>0</c:formatCode>
                <c:ptCount val="17"/>
                <c:pt idx="0" formatCode="0.0">
                  <c:v>934.80228475734998</c:v>
                </c:pt>
                <c:pt idx="1">
                  <c:v>903.5749671252006</c:v>
                </c:pt>
                <c:pt idx="2">
                  <c:v>880.99670494459997</c:v>
                </c:pt>
                <c:pt idx="3">
                  <c:v>873.44572016636005</c:v>
                </c:pt>
                <c:pt idx="4">
                  <c:v>889.55752228254005</c:v>
                </c:pt>
                <c:pt idx="5">
                  <c:v>938.8</c:v>
                </c:pt>
                <c:pt idx="6">
                  <c:v>937.3850071969398</c:v>
                </c:pt>
                <c:pt idx="7">
                  <c:v>953.51324558961994</c:v>
                </c:pt>
                <c:pt idx="8">
                  <c:v>947.54409791725004</c:v>
                </c:pt>
                <c:pt idx="9">
                  <c:v>933.46196833242004</c:v>
                </c:pt>
                <c:pt idx="10">
                  <c:v>929.46020763057004</c:v>
                </c:pt>
                <c:pt idx="11">
                  <c:v>951.49971941976003</c:v>
                </c:pt>
                <c:pt idx="12">
                  <c:v>947.07956441517001</c:v>
                </c:pt>
                <c:pt idx="13">
                  <c:v>987.27364184473106</c:v>
                </c:pt>
                <c:pt idx="14">
                  <c:v>1056.0050627743799</c:v>
                </c:pt>
                <c:pt idx="15">
                  <c:v>1110.5060446715504</c:v>
                </c:pt>
                <c:pt idx="16">
                  <c:v>1248</c:v>
                </c:pt>
              </c:numCache>
            </c:numRef>
          </c:val>
        </c:ser>
        <c:ser>
          <c:idx val="3"/>
          <c:order val="3"/>
          <c:tx>
            <c:strRef>
              <c:f>'2'!$B$11</c:f>
              <c:strCache>
                <c:ptCount val="1"/>
                <c:pt idx="0">
                  <c:v>Вклады в уставные (складочные) капиталы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'2'!$C$7:$S$7</c:f>
              <c:strCache>
                <c:ptCount val="17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  <c:pt idx="16">
                  <c:v>II кв. 2022</c:v>
                </c:pt>
              </c:strCache>
            </c:strRef>
          </c:cat>
          <c:val>
            <c:numRef>
              <c:f>'2'!$C$11:$S$11</c:f>
              <c:numCache>
                <c:formatCode>0</c:formatCode>
                <c:ptCount val="17"/>
                <c:pt idx="0" formatCode="0.0">
                  <c:v>606.13782384574995</c:v>
                </c:pt>
                <c:pt idx="1">
                  <c:v>605.29999999999995</c:v>
                </c:pt>
                <c:pt idx="2">
                  <c:v>639.77740399259994</c:v>
                </c:pt>
                <c:pt idx="3">
                  <c:v>675.89493995880014</c:v>
                </c:pt>
                <c:pt idx="4">
                  <c:v>700.66880392902999</c:v>
                </c:pt>
                <c:pt idx="5">
                  <c:v>690.5</c:v>
                </c:pt>
                <c:pt idx="6">
                  <c:v>807.7799552570001</c:v>
                </c:pt>
                <c:pt idx="7">
                  <c:v>840.00253943044004</c:v>
                </c:pt>
                <c:pt idx="8">
                  <c:v>857.18172516540994</c:v>
                </c:pt>
                <c:pt idx="9">
                  <c:v>757.74747857031991</c:v>
                </c:pt>
                <c:pt idx="10">
                  <c:v>797.40709088053995</c:v>
                </c:pt>
                <c:pt idx="11">
                  <c:v>869.17282756475004</c:v>
                </c:pt>
                <c:pt idx="12">
                  <c:v>847.66045113620805</c:v>
                </c:pt>
                <c:pt idx="13">
                  <c:v>965.69547233817298</c:v>
                </c:pt>
                <c:pt idx="14">
                  <c:v>1005.1584389882801</c:v>
                </c:pt>
                <c:pt idx="15">
                  <c:v>1070.9186580509156</c:v>
                </c:pt>
                <c:pt idx="16">
                  <c:v>930</c:v>
                </c:pt>
              </c:numCache>
            </c:numRef>
          </c:val>
        </c:ser>
        <c:ser>
          <c:idx val="4"/>
          <c:order val="4"/>
          <c:tx>
            <c:strRef>
              <c:f>'2'!$B$12</c:f>
              <c:strCache>
                <c:ptCount val="1"/>
                <c:pt idx="0">
                  <c:v>Инвестиционные паи ПИФ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'2'!$C$7:$S$7</c:f>
              <c:strCache>
                <c:ptCount val="17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  <c:pt idx="16">
                  <c:v>II кв. 2022</c:v>
                </c:pt>
              </c:strCache>
            </c:strRef>
          </c:cat>
          <c:val>
            <c:numRef>
              <c:f>'2'!$C$12:$S$12</c:f>
              <c:numCache>
                <c:formatCode>0</c:formatCode>
                <c:ptCount val="17"/>
                <c:pt idx="1">
                  <c:v>84</c:v>
                </c:pt>
                <c:pt idx="2">
                  <c:v>96.9</c:v>
                </c:pt>
                <c:pt idx="3">
                  <c:v>98.2</c:v>
                </c:pt>
                <c:pt idx="4">
                  <c:v>100.4</c:v>
                </c:pt>
                <c:pt idx="5">
                  <c:v>117.9</c:v>
                </c:pt>
                <c:pt idx="6">
                  <c:v>226</c:v>
                </c:pt>
                <c:pt idx="7">
                  <c:v>447.82081213252997</c:v>
                </c:pt>
                <c:pt idx="8">
                  <c:v>156.51054501281001</c:v>
                </c:pt>
                <c:pt idx="9">
                  <c:v>262.14969595845997</c:v>
                </c:pt>
                <c:pt idx="10">
                  <c:v>357.05901572285001</c:v>
                </c:pt>
                <c:pt idx="11">
                  <c:v>330.08373999103003</c:v>
                </c:pt>
                <c:pt idx="12">
                  <c:v>491.75752603952998</c:v>
                </c:pt>
                <c:pt idx="13">
                  <c:v>674.10834033675008</c:v>
                </c:pt>
                <c:pt idx="14">
                  <c:v>980.55675171734993</c:v>
                </c:pt>
                <c:pt idx="15">
                  <c:v>863.99743684386976</c:v>
                </c:pt>
                <c:pt idx="16">
                  <c:v>980</c:v>
                </c:pt>
              </c:numCache>
            </c:numRef>
          </c:val>
        </c:ser>
        <c:ser>
          <c:idx val="5"/>
          <c:order val="5"/>
          <c:tx>
            <c:strRef>
              <c:f>'2'!$B$13</c:f>
              <c:strCache>
                <c:ptCount val="1"/>
                <c:pt idx="0">
                  <c:v>Иностранные ценные бумаги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'2'!$C$7:$S$7</c:f>
              <c:strCache>
                <c:ptCount val="17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  <c:pt idx="16">
                  <c:v>II кв. 2022</c:v>
                </c:pt>
              </c:strCache>
            </c:strRef>
          </c:cat>
          <c:val>
            <c:numRef>
              <c:f>'2'!$C$13:$S$13</c:f>
              <c:numCache>
                <c:formatCode>0</c:formatCode>
                <c:ptCount val="17"/>
                <c:pt idx="0" formatCode="0.0">
                  <c:v>139.81353567834</c:v>
                </c:pt>
                <c:pt idx="1">
                  <c:v>147.383393326109</c:v>
                </c:pt>
                <c:pt idx="2">
                  <c:v>163.77064449604501</c:v>
                </c:pt>
                <c:pt idx="3">
                  <c:v>174.07846054383799</c:v>
                </c:pt>
                <c:pt idx="4">
                  <c:v>167.16981301129499</c:v>
                </c:pt>
                <c:pt idx="5">
                  <c:v>180.6</c:v>
                </c:pt>
                <c:pt idx="6">
                  <c:v>192.07669125406201</c:v>
                </c:pt>
                <c:pt idx="7">
                  <c:v>47.552070258150003</c:v>
                </c:pt>
                <c:pt idx="8">
                  <c:v>51.737763956389706</c:v>
                </c:pt>
                <c:pt idx="9">
                  <c:v>83.765005536229594</c:v>
                </c:pt>
                <c:pt idx="10">
                  <c:v>123.81515329704899</c:v>
                </c:pt>
                <c:pt idx="11">
                  <c:v>127.915125647496</c:v>
                </c:pt>
                <c:pt idx="12">
                  <c:v>426.96259667477699</c:v>
                </c:pt>
                <c:pt idx="13">
                  <c:v>512.85851325235899</c:v>
                </c:pt>
                <c:pt idx="14">
                  <c:v>581.09866414217606</c:v>
                </c:pt>
                <c:pt idx="15">
                  <c:v>607.13151707457837</c:v>
                </c:pt>
                <c:pt idx="16">
                  <c:v>240</c:v>
                </c:pt>
              </c:numCache>
            </c:numRef>
          </c:val>
        </c:ser>
        <c:ser>
          <c:idx val="6"/>
          <c:order val="6"/>
          <c:tx>
            <c:strRef>
              <c:f>'2'!$B$14</c:f>
              <c:strCache>
                <c:ptCount val="1"/>
                <c:pt idx="0">
                  <c:v>Облигации российских эмитентов 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'2'!$C$7:$S$7</c:f>
              <c:strCache>
                <c:ptCount val="17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  <c:pt idx="16">
                  <c:v>II кв. 2022</c:v>
                </c:pt>
              </c:strCache>
            </c:strRef>
          </c:cat>
          <c:val>
            <c:numRef>
              <c:f>'2'!$C$14:$S$14</c:f>
              <c:numCache>
                <c:formatCode>0</c:formatCode>
                <c:ptCount val="17"/>
                <c:pt idx="0" formatCode="0.0">
                  <c:v>189.22932408023001</c:v>
                </c:pt>
                <c:pt idx="1">
                  <c:v>223.7</c:v>
                </c:pt>
                <c:pt idx="2">
                  <c:v>215.49709218881006</c:v>
                </c:pt>
                <c:pt idx="3">
                  <c:v>204.25030744413007</c:v>
                </c:pt>
                <c:pt idx="4">
                  <c:v>221.15607375524999</c:v>
                </c:pt>
                <c:pt idx="5">
                  <c:v>244.2</c:v>
                </c:pt>
                <c:pt idx="6">
                  <c:v>267.17628030045995</c:v>
                </c:pt>
                <c:pt idx="7">
                  <c:v>98.105191671749992</c:v>
                </c:pt>
                <c:pt idx="8">
                  <c:v>106.48047123717001</c:v>
                </c:pt>
                <c:pt idx="9">
                  <c:v>108.26751767522001</c:v>
                </c:pt>
                <c:pt idx="10">
                  <c:v>105.735735360614</c:v>
                </c:pt>
                <c:pt idx="11">
                  <c:v>96.294443683730009</c:v>
                </c:pt>
                <c:pt idx="12">
                  <c:v>348.58492835201997</c:v>
                </c:pt>
                <c:pt idx="13">
                  <c:v>371.76254447191002</c:v>
                </c:pt>
                <c:pt idx="14">
                  <c:v>375.50646282085</c:v>
                </c:pt>
                <c:pt idx="15">
                  <c:v>397.08657760999927</c:v>
                </c:pt>
                <c:pt idx="16">
                  <c:v>360</c:v>
                </c:pt>
              </c:numCache>
            </c:numRef>
          </c:val>
        </c:ser>
        <c:ser>
          <c:idx val="7"/>
          <c:order val="7"/>
          <c:tx>
            <c:strRef>
              <c:f>'2'!$B$15</c:f>
              <c:strCache>
                <c:ptCount val="1"/>
                <c:pt idx="0">
                  <c:v>Гос. ЦБ, ЦБ субъектов РФ и муниципальные ЦБ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'2'!$C$7:$S$7</c:f>
              <c:strCache>
                <c:ptCount val="17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  <c:pt idx="16">
                  <c:v>II кв. 2022</c:v>
                </c:pt>
              </c:strCache>
            </c:strRef>
          </c:cat>
          <c:val>
            <c:numRef>
              <c:f>'2'!$C$15:$S$15</c:f>
              <c:numCache>
                <c:formatCode>0</c:formatCode>
                <c:ptCount val="17"/>
                <c:pt idx="1">
                  <c:v>55.1</c:v>
                </c:pt>
                <c:pt idx="2">
                  <c:v>48.8</c:v>
                </c:pt>
                <c:pt idx="3">
                  <c:v>81.8</c:v>
                </c:pt>
                <c:pt idx="4">
                  <c:v>133.5</c:v>
                </c:pt>
                <c:pt idx="5">
                  <c:v>163</c:v>
                </c:pt>
                <c:pt idx="6">
                  <c:v>193.3</c:v>
                </c:pt>
                <c:pt idx="7">
                  <c:v>170.94487864817</c:v>
                </c:pt>
                <c:pt idx="8">
                  <c:v>171.76086150686999</c:v>
                </c:pt>
                <c:pt idx="9">
                  <c:v>176.62226744666</c:v>
                </c:pt>
                <c:pt idx="10">
                  <c:v>216.11282876525499</c:v>
                </c:pt>
                <c:pt idx="11">
                  <c:v>237.712415162463</c:v>
                </c:pt>
                <c:pt idx="12">
                  <c:v>360.29446258548501</c:v>
                </c:pt>
                <c:pt idx="13">
                  <c:v>350.9</c:v>
                </c:pt>
                <c:pt idx="14">
                  <c:v>342.27684377118504</c:v>
                </c:pt>
                <c:pt idx="15">
                  <c:v>312.86603507718638</c:v>
                </c:pt>
                <c:pt idx="16">
                  <c:v>303</c:v>
                </c:pt>
              </c:numCache>
            </c:numRef>
          </c:val>
        </c:ser>
        <c:ser>
          <c:idx val="8"/>
          <c:order val="8"/>
          <c:tx>
            <c:strRef>
              <c:f>'2'!$B$16</c:f>
              <c:strCache>
                <c:ptCount val="1"/>
                <c:pt idx="0">
                  <c:v>Депозиты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'2'!$C$7:$S$7</c:f>
              <c:strCache>
                <c:ptCount val="17"/>
                <c:pt idx="0">
                  <c:v>I кв. 2018</c:v>
                </c:pt>
                <c:pt idx="1">
                  <c:v>II кв. 2018</c:v>
                </c:pt>
                <c:pt idx="2">
                  <c:v>III кв. 2018</c:v>
                </c:pt>
                <c:pt idx="3">
                  <c:v>IV кв. 2018</c:v>
                </c:pt>
                <c:pt idx="4">
                  <c:v>I кв. 2019</c:v>
                </c:pt>
                <c:pt idx="5">
                  <c:v>II кв. 2019</c:v>
                </c:pt>
                <c:pt idx="6">
                  <c:v>III кв. 2019</c:v>
                </c:pt>
                <c:pt idx="7">
                  <c:v>IV кв. 2019</c:v>
                </c:pt>
                <c:pt idx="8">
                  <c:v>I кв. 2020</c:v>
                </c:pt>
                <c:pt idx="9">
                  <c:v>II кв. 2020</c:v>
                </c:pt>
                <c:pt idx="10">
                  <c:v>III кв. 2020</c:v>
                </c:pt>
                <c:pt idx="11">
                  <c:v>IV кв. 2020</c:v>
                </c:pt>
                <c:pt idx="12">
                  <c:v>I кв. 2021</c:v>
                </c:pt>
                <c:pt idx="13">
                  <c:v>II кв. 2021</c:v>
                </c:pt>
                <c:pt idx="14">
                  <c:v>III кв. 2021</c:v>
                </c:pt>
                <c:pt idx="15">
                  <c:v>IV кв. 2021</c:v>
                </c:pt>
                <c:pt idx="16">
                  <c:v>II кв. 2022</c:v>
                </c:pt>
              </c:strCache>
            </c:strRef>
          </c:cat>
          <c:val>
            <c:numRef>
              <c:f>'2'!$C$16:$S$16</c:f>
              <c:numCache>
                <c:formatCode>0</c:formatCode>
                <c:ptCount val="17"/>
                <c:pt idx="0" formatCode="0.0">
                  <c:v>142.31575175124996</c:v>
                </c:pt>
                <c:pt idx="1">
                  <c:v>169.7</c:v>
                </c:pt>
                <c:pt idx="2">
                  <c:v>129.06170634814001</c:v>
                </c:pt>
                <c:pt idx="3">
                  <c:v>157.11524004522005</c:v>
                </c:pt>
                <c:pt idx="4">
                  <c:v>139.37364277149001</c:v>
                </c:pt>
                <c:pt idx="5">
                  <c:v>166.2</c:v>
                </c:pt>
                <c:pt idx="6">
                  <c:v>170.67135703553004</c:v>
                </c:pt>
                <c:pt idx="7">
                  <c:v>200.081111846201</c:v>
                </c:pt>
                <c:pt idx="8">
                  <c:v>286.21591324033699</c:v>
                </c:pt>
                <c:pt idx="9">
                  <c:v>185.06883128591798</c:v>
                </c:pt>
                <c:pt idx="10">
                  <c:v>189.83617983362899</c:v>
                </c:pt>
                <c:pt idx="11">
                  <c:v>201.27105525272901</c:v>
                </c:pt>
                <c:pt idx="12">
                  <c:v>171.80812764336</c:v>
                </c:pt>
                <c:pt idx="13">
                  <c:v>169.668798561904</c:v>
                </c:pt>
                <c:pt idx="14">
                  <c:v>204.188551679591</c:v>
                </c:pt>
                <c:pt idx="15">
                  <c:v>249.63046117089664</c:v>
                </c:pt>
                <c:pt idx="16">
                  <c:v>212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132736"/>
        <c:axId val="294142720"/>
      </c:barChart>
      <c:catAx>
        <c:axId val="29413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4142720"/>
        <c:crosses val="autoZero"/>
        <c:auto val="1"/>
        <c:lblAlgn val="ctr"/>
        <c:lblOffset val="100"/>
        <c:noMultiLvlLbl val="0"/>
      </c:catAx>
      <c:valAx>
        <c:axId val="29414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4132736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Архив!$B$5</c:f>
              <c:strCache>
                <c:ptCount val="1"/>
                <c:pt idx="0">
                  <c:v>Индексный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Архив!$J$5:$R$5</c:f>
              <c:numCache>
                <c:formatCode>#,##0.0</c:formatCode>
                <c:ptCount val="9"/>
                <c:pt idx="0">
                  <c:v>2442.0665601199994</c:v>
                </c:pt>
                <c:pt idx="1">
                  <c:v>2323.9338963099999</c:v>
                </c:pt>
                <c:pt idx="2">
                  <c:v>1049.7456100200002</c:v>
                </c:pt>
              </c:numCache>
            </c:numRef>
          </c:val>
        </c:ser>
        <c:ser>
          <c:idx val="1"/>
          <c:order val="1"/>
          <c:tx>
            <c:strRef>
              <c:f>Архив!$B$6</c:f>
              <c:strCache>
                <c:ptCount val="1"/>
                <c:pt idx="0">
                  <c:v>Денежного рынка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Архив!$J$6:$R$6</c:f>
              <c:numCache>
                <c:formatCode>#,##0.0</c:formatCode>
                <c:ptCount val="9"/>
                <c:pt idx="0">
                  <c:v>1706.14044537</c:v>
                </c:pt>
                <c:pt idx="1">
                  <c:v>1412.7973975099997</c:v>
                </c:pt>
                <c:pt idx="2">
                  <c:v>1373.2373915799999</c:v>
                </c:pt>
                <c:pt idx="3">
                  <c:v>134.28737290000001</c:v>
                </c:pt>
                <c:pt idx="4">
                  <c:v>13.20828756</c:v>
                </c:pt>
                <c:pt idx="5">
                  <c:v>13.2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2"/>
          <c:tx>
            <c:strRef>
              <c:f>Архив!$B$7</c:f>
              <c:strCache>
                <c:ptCount val="1"/>
                <c:pt idx="0">
                  <c:v>Смешанных инвестиций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Архив!$J$7:$R$7</c:f>
              <c:numCache>
                <c:formatCode>#,##0.0</c:formatCode>
                <c:ptCount val="9"/>
                <c:pt idx="0">
                  <c:v>10246.651834190005</c:v>
                </c:pt>
                <c:pt idx="1">
                  <c:v>9561.7722548700003</c:v>
                </c:pt>
                <c:pt idx="2">
                  <c:v>4294.842016300001</c:v>
                </c:pt>
                <c:pt idx="3">
                  <c:v>21.714968719999998</c:v>
                </c:pt>
                <c:pt idx="4">
                  <c:v>21.954689740000003</c:v>
                </c:pt>
                <c:pt idx="5">
                  <c:v>21.9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Архив!$B$8</c:f>
              <c:strCache>
                <c:ptCount val="1"/>
                <c:pt idx="0">
                  <c:v>Фонд фондов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Архив!$J$8:$R$8</c:f>
              <c:numCache>
                <c:formatCode>#,##0.0</c:formatCode>
                <c:ptCount val="9"/>
                <c:pt idx="0">
                  <c:v>10905.356975049997</c:v>
                </c:pt>
                <c:pt idx="1">
                  <c:v>10728.598015409998</c:v>
                </c:pt>
                <c:pt idx="2">
                  <c:v>4754.6267788300011</c:v>
                </c:pt>
              </c:numCache>
            </c:numRef>
          </c:val>
        </c:ser>
        <c:ser>
          <c:idx val="4"/>
          <c:order val="4"/>
          <c:tx>
            <c:strRef>
              <c:f>Архив!$B$9</c:f>
              <c:strCache>
                <c:ptCount val="1"/>
                <c:pt idx="0">
                  <c:v>Акций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Архив!$J$9:$R$9</c:f>
              <c:numCache>
                <c:formatCode>#,##0.0</c:formatCode>
                <c:ptCount val="9"/>
                <c:pt idx="0">
                  <c:v>35525.224648609998</c:v>
                </c:pt>
                <c:pt idx="1">
                  <c:v>33522.97242743001</c:v>
                </c:pt>
                <c:pt idx="2">
                  <c:v>28833.201838010002</c:v>
                </c:pt>
              </c:numCache>
            </c:numRef>
          </c:val>
        </c:ser>
        <c:ser>
          <c:idx val="5"/>
          <c:order val="5"/>
          <c:tx>
            <c:strRef>
              <c:f>Архив!$B$10</c:f>
              <c:strCache>
                <c:ptCount val="1"/>
                <c:pt idx="0">
                  <c:v>Рыночных фин. инструментов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Архив!$J$10:$R$10</c:f>
              <c:numCache>
                <c:formatCode>#,##0.0</c:formatCode>
                <c:ptCount val="9"/>
                <c:pt idx="1">
                  <c:v>2622.96882293</c:v>
                </c:pt>
                <c:pt idx="2">
                  <c:v>73345.565746539971</c:v>
                </c:pt>
                <c:pt idx="3">
                  <c:v>217672.25804934005</c:v>
                </c:pt>
                <c:pt idx="4">
                  <c:v>259259.51835093024</c:v>
                </c:pt>
                <c:pt idx="5">
                  <c:v>303679.62362689205</c:v>
                </c:pt>
                <c:pt idx="6">
                  <c:v>317469.27602719434</c:v>
                </c:pt>
                <c:pt idx="7">
                  <c:v>315353.47123756667</c:v>
                </c:pt>
                <c:pt idx="8" formatCode="General">
                  <c:v>318365.01735311956</c:v>
                </c:pt>
              </c:numCache>
            </c:numRef>
          </c:val>
        </c:ser>
        <c:ser>
          <c:idx val="6"/>
          <c:order val="6"/>
          <c:tx>
            <c:strRef>
              <c:f>Архив!$B$11</c:f>
              <c:strCache>
                <c:ptCount val="1"/>
                <c:pt idx="0">
                  <c:v>Облигаций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Архив!$J$4:$R$4</c:f>
              <c:strCache>
                <c:ptCount val="9"/>
                <c:pt idx="0">
                  <c:v>I кв. 2017</c:v>
                </c:pt>
                <c:pt idx="1">
                  <c:v>II кв. 2017</c:v>
                </c:pt>
                <c:pt idx="2">
                  <c:v>III кв. 2017</c:v>
                </c:pt>
                <c:pt idx="3">
                  <c:v>IV кв. 2017</c:v>
                </c:pt>
                <c:pt idx="4">
                  <c:v>I кв. 2018</c:v>
                </c:pt>
                <c:pt idx="5">
                  <c:v>II кв. 2018</c:v>
                </c:pt>
                <c:pt idx="6">
                  <c:v>III кв. 2018</c:v>
                </c:pt>
                <c:pt idx="7">
                  <c:v>IV кв. 2018</c:v>
                </c:pt>
                <c:pt idx="8">
                  <c:v>I кв. 2018</c:v>
                </c:pt>
              </c:strCache>
            </c:strRef>
          </c:cat>
          <c:val>
            <c:numRef>
              <c:f>Архив!$J$11:$R$11</c:f>
              <c:numCache>
                <c:formatCode>#,##0.0</c:formatCode>
                <c:ptCount val="9"/>
                <c:pt idx="0">
                  <c:v>80246.616145790002</c:v>
                </c:pt>
                <c:pt idx="1">
                  <c:v>102627.68795168</c:v>
                </c:pt>
                <c:pt idx="2">
                  <c:v>76871.80969200001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0625408"/>
        <c:axId val="310626944"/>
      </c:barChart>
      <c:catAx>
        <c:axId val="31062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0626944"/>
        <c:crosses val="autoZero"/>
        <c:auto val="1"/>
        <c:lblAlgn val="ctr"/>
        <c:lblOffset val="100"/>
        <c:noMultiLvlLbl val="0"/>
      </c:catAx>
      <c:valAx>
        <c:axId val="31062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0625408"/>
        <c:crosses val="autoZero"/>
        <c:crossBetween val="between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Архив2!$A$4</c:f>
              <c:strCache>
                <c:ptCount val="1"/>
                <c:pt idx="0">
                  <c:v>ЗПИФ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Архив2!$R$4:$S$4</c:f>
              <c:numCache>
                <c:formatCode>General</c:formatCode>
                <c:ptCount val="2"/>
                <c:pt idx="0">
                  <c:v>11.8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Архив2!$A$5</c:f>
              <c:strCache>
                <c:ptCount val="1"/>
                <c:pt idx="0">
                  <c:v>ОПИФ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Архив2!$R$5:$S$5</c:f>
              <c:numCache>
                <c:formatCode>General</c:formatCode>
                <c:ptCount val="2"/>
                <c:pt idx="0">
                  <c:v>11.3</c:v>
                </c:pt>
                <c:pt idx="1">
                  <c:v>17.7</c:v>
                </c:pt>
              </c:numCache>
            </c:numRef>
          </c:val>
        </c:ser>
        <c:ser>
          <c:idx val="2"/>
          <c:order val="2"/>
          <c:tx>
            <c:strRef>
              <c:f>Архив2!$A$6</c:f>
              <c:strCache>
                <c:ptCount val="1"/>
                <c:pt idx="0">
                  <c:v>ИПИФ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Архив2!$R$6:$S$6</c:f>
              <c:numCache>
                <c:formatCode>General</c:formatCode>
                <c:ptCount val="2"/>
                <c:pt idx="0">
                  <c:v>0.4</c:v>
                </c:pt>
                <c:pt idx="1">
                  <c:v>3.1</c:v>
                </c:pt>
              </c:numCache>
            </c:numRef>
          </c:val>
        </c:ser>
        <c:ser>
          <c:idx val="3"/>
          <c:order val="3"/>
          <c:tx>
            <c:strRef>
              <c:f>Архив2!$A$7</c:f>
              <c:strCache>
                <c:ptCount val="1"/>
                <c:pt idx="0">
                  <c:v>БПИФ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Архив2!$R$7:$S$7</c:f>
              <c:numCache>
                <c:formatCode>General</c:formatCode>
                <c:ptCount val="2"/>
                <c:pt idx="0">
                  <c:v>32</c:v>
                </c:pt>
                <c:pt idx="1">
                  <c:v>13.1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0758016"/>
        <c:axId val="310763904"/>
      </c:barChart>
      <c:lineChart>
        <c:grouping val="standard"/>
        <c:varyColors val="0"/>
        <c:ser>
          <c:idx val="4"/>
          <c:order val="4"/>
          <c:tx>
            <c:strRef>
              <c:f>Архив2!$A$8</c:f>
              <c:strCache>
                <c:ptCount val="1"/>
                <c:pt idx="0">
                  <c:v>Инфляция 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Архив2!$R$3:$S$3</c:f>
              <c:strCache>
                <c:ptCount val="2"/>
                <c:pt idx="0">
                  <c:v>I кв. 2019</c:v>
                </c:pt>
                <c:pt idx="1">
                  <c:v>II кв. 2019</c:v>
                </c:pt>
              </c:strCache>
            </c:strRef>
          </c:cat>
          <c:val>
            <c:numRef>
              <c:f>Архив2!$R$8:$S$8</c:f>
              <c:numCache>
                <c:formatCode>General</c:formatCode>
                <c:ptCount val="2"/>
                <c:pt idx="0">
                  <c:v>7.3</c:v>
                </c:pt>
                <c:pt idx="1">
                  <c:v>2.7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758016"/>
        <c:axId val="310763904"/>
      </c:lineChart>
      <c:catAx>
        <c:axId val="31075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0763904"/>
        <c:crosses val="autoZero"/>
        <c:auto val="1"/>
        <c:lblAlgn val="ctr"/>
        <c:lblOffset val="100"/>
        <c:noMultiLvlLbl val="0"/>
      </c:catAx>
      <c:valAx>
        <c:axId val="31076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0758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129342701937951"/>
          <c:y val="9.6212121212121207E-2"/>
          <c:w val="0.54436801511928079"/>
          <c:h val="0.773054874749236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'Рис 10 архив'!$B$71:$B$84</c:f>
              <c:strCache>
                <c:ptCount val="14"/>
                <c:pt idx="0">
                  <c:v>               комбинированный</c:v>
                </c:pt>
                <c:pt idx="1">
                  <c:v>               недвижимости</c:v>
                </c:pt>
                <c:pt idx="2">
                  <c:v>               долгосрочных прямых инвестиций</c:v>
                </c:pt>
                <c:pt idx="3">
                  <c:v>               рентный</c:v>
                </c:pt>
                <c:pt idx="4">
                  <c:v>               смешанных инвестиций</c:v>
                </c:pt>
                <c:pt idx="5">
                  <c:v>               прямых инвестиций</c:v>
                </c:pt>
                <c:pt idx="6">
                  <c:v>               акций</c:v>
                </c:pt>
                <c:pt idx="7">
                  <c:v>               кредитный</c:v>
                </c:pt>
                <c:pt idx="8">
                  <c:v>              особо рисковых (венчурных) инвестиций</c:v>
                </c:pt>
                <c:pt idx="9">
                  <c:v>               хедж-фонд</c:v>
                </c:pt>
                <c:pt idx="10">
                  <c:v>               финансовых инструментов</c:v>
                </c:pt>
                <c:pt idx="11">
                  <c:v>               денежного рынка</c:v>
                </c:pt>
                <c:pt idx="12">
                  <c:v>               товарного рынка</c:v>
                </c:pt>
                <c:pt idx="13">
                  <c:v>               ипотечный</c:v>
                </c:pt>
              </c:strCache>
            </c:strRef>
          </c:cat>
          <c:val>
            <c:numRef>
              <c:f>'Рис 10 архив'!$G$71:$G$84</c:f>
              <c:numCache>
                <c:formatCode>0.0</c:formatCode>
                <c:ptCount val="14"/>
                <c:pt idx="0">
                  <c:v>44.918575299490939</c:v>
                </c:pt>
                <c:pt idx="1">
                  <c:v>-9.1847910620302429</c:v>
                </c:pt>
                <c:pt idx="2">
                  <c:v>6.2538169756899586</c:v>
                </c:pt>
                <c:pt idx="3">
                  <c:v>-1.0471606135200999</c:v>
                </c:pt>
                <c:pt idx="4">
                  <c:v>-1.6423235088800139</c:v>
                </c:pt>
                <c:pt idx="5">
                  <c:v>0.12251831097999093</c:v>
                </c:pt>
                <c:pt idx="6">
                  <c:v>-0.27462093243000707</c:v>
                </c:pt>
                <c:pt idx="7">
                  <c:v>-3.3523150403600046</c:v>
                </c:pt>
                <c:pt idx="8">
                  <c:v>-0.58475611887999912</c:v>
                </c:pt>
                <c:pt idx="9">
                  <c:v>0.81207951531000067</c:v>
                </c:pt>
                <c:pt idx="10">
                  <c:v>-2.5827464900000222E-2</c:v>
                </c:pt>
                <c:pt idx="11">
                  <c:v>-0.16294680099000003</c:v>
                </c:pt>
                <c:pt idx="12">
                  <c:v>1.1126588499999954E-3</c:v>
                </c:pt>
                <c:pt idx="13">
                  <c:v>6.34693690000006E-4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74419840"/>
        <c:axId val="374421376"/>
      </c:barChart>
      <c:catAx>
        <c:axId val="3744198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374421376"/>
        <c:crosses val="autoZero"/>
        <c:auto val="1"/>
        <c:lblAlgn val="ctr"/>
        <c:lblOffset val="100"/>
        <c:noMultiLvlLbl val="0"/>
      </c:catAx>
      <c:valAx>
        <c:axId val="374421376"/>
        <c:scaling>
          <c:orientation val="minMax"/>
          <c:max val="50"/>
          <c:min val="-50"/>
        </c:scaling>
        <c:delete val="0"/>
        <c:axPos val="b"/>
        <c:majorGridlines>
          <c:spPr>
            <a:ln>
              <a:solidFill>
                <a:schemeClr val="accent6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crossAx val="374419840"/>
        <c:crosses val="autoZero"/>
        <c:crossBetween val="between"/>
        <c:majorUnit val="500"/>
        <c:minorUnit val="10"/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'Рис14 архив'!$B$39:$B$41</c:f>
              <c:strCache>
                <c:ptCount val="3"/>
                <c:pt idx="0">
                  <c:v>               денежного рынка</c:v>
                </c:pt>
                <c:pt idx="1">
                  <c:v>               смешанных инвестиций</c:v>
                </c:pt>
                <c:pt idx="2">
                  <c:v>               рыночных финансовых инструментов</c:v>
                </c:pt>
              </c:strCache>
            </c:strRef>
          </c:cat>
          <c:val>
            <c:numRef>
              <c:f>'Рис14 архив'!$G$39:$G$41</c:f>
              <c:numCache>
                <c:formatCode>General</c:formatCode>
                <c:ptCount val="3"/>
                <c:pt idx="0">
                  <c:v>-0.12107908534</c:v>
                </c:pt>
                <c:pt idx="1">
                  <c:v>2.3972102000000461E-4</c:v>
                </c:pt>
                <c:pt idx="2">
                  <c:v>41.587260301590199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axId val="374142464"/>
        <c:axId val="374144000"/>
      </c:barChart>
      <c:catAx>
        <c:axId val="37414246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solidFill>
              <a:schemeClr val="accent6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374144000"/>
        <c:crosses val="autoZero"/>
        <c:auto val="1"/>
        <c:lblAlgn val="ctr"/>
        <c:lblOffset val="100"/>
        <c:noMultiLvlLbl val="0"/>
      </c:catAx>
      <c:valAx>
        <c:axId val="374144000"/>
        <c:scaling>
          <c:orientation val="minMax"/>
        </c:scaling>
        <c:delete val="0"/>
        <c:axPos val="b"/>
        <c:majorGridlines>
          <c:spPr>
            <a:ln>
              <a:solidFill>
                <a:schemeClr val="accent6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accent6"/>
            </a:solidFill>
          </a:ln>
        </c:spPr>
        <c:crossAx val="374142464"/>
        <c:crosses val="autoZero"/>
        <c:crossBetween val="between"/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'Рис2.1'!$B$5</c:f>
              <c:strCache>
                <c:ptCount val="1"/>
                <c:pt idx="0">
                  <c:v>СЧА АИФ</c:v>
                </c:pt>
              </c:strCache>
            </c:strRef>
          </c:tx>
          <c:invertIfNegative val="0"/>
          <c:cat>
            <c:strRef>
              <c:f>'Рис2.1'!$H$4:$L$4</c:f>
              <c:strCache>
                <c:ptCount val="5"/>
                <c:pt idx="0">
                  <c:v>IV кв. 2016</c:v>
                </c:pt>
                <c:pt idx="1">
                  <c:v>I кв. 2017</c:v>
                </c:pt>
                <c:pt idx="2">
                  <c:v>II кв. 2017</c:v>
                </c:pt>
                <c:pt idx="3">
                  <c:v>III кв. 2017</c:v>
                </c:pt>
                <c:pt idx="4">
                  <c:v>IV кв. 2017</c:v>
                </c:pt>
              </c:strCache>
            </c:strRef>
          </c:cat>
          <c:val>
            <c:numRef>
              <c:f>'Рис2.1'!$H$5:$L$5</c:f>
              <c:numCache>
                <c:formatCode>General</c:formatCode>
                <c:ptCount val="5"/>
                <c:pt idx="0">
                  <c:v>4477.2350053700002</c:v>
                </c:pt>
                <c:pt idx="1">
                  <c:v>4372.5216751199996</c:v>
                </c:pt>
                <c:pt idx="2">
                  <c:v>4245.1853964900001</c:v>
                </c:pt>
                <c:pt idx="3">
                  <c:v>4334.9742609300001</c:v>
                </c:pt>
                <c:pt idx="4">
                  <c:v>3478.6143729999999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100"/>
        <c:axId val="374336128"/>
        <c:axId val="374321536"/>
      </c:barChart>
      <c:catAx>
        <c:axId val="374336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>
            <a:solidFill>
              <a:srgbClr val="AB5253"/>
            </a:solidFill>
          </a:ln>
        </c:spPr>
        <c:txPr>
          <a:bodyPr/>
          <a:lstStyle/>
          <a:p>
            <a:pPr>
              <a:defRPr sz="700"/>
            </a:pPr>
            <a:endParaRPr lang="ru-RU"/>
          </a:p>
        </c:txPr>
        <c:crossAx val="374321536"/>
        <c:crosses val="autoZero"/>
        <c:auto val="1"/>
        <c:lblAlgn val="ctr"/>
        <c:lblOffset val="100"/>
        <c:noMultiLvlLbl val="0"/>
      </c:catAx>
      <c:valAx>
        <c:axId val="374321536"/>
        <c:scaling>
          <c:orientation val="minMax"/>
          <c:max val="5000"/>
          <c:min val="0"/>
        </c:scaling>
        <c:delete val="0"/>
        <c:axPos val="l"/>
        <c:majorGridlines>
          <c:spPr>
            <a:ln>
              <a:solidFill>
                <a:srgbClr val="AB5253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rgbClr val="AB5253"/>
            </a:solidFill>
          </a:ln>
        </c:spPr>
        <c:crossAx val="374336128"/>
        <c:crosses val="autoZero"/>
        <c:crossBetween val="between"/>
        <c:minorUnit val="1000"/>
        <c:dispUnits>
          <c:builtInUnit val="thousands"/>
        </c:dispUnits>
      </c:valAx>
      <c:spPr>
        <a:noFill/>
        <a:ln w="6350" cmpd="sng"/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(8)'!$B$57:$B$59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1078.125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(8)'!$B$62:$B$64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31.881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'Page1_1 (8)'!$A$56</c:f>
              <c:strCache>
                <c:ptCount val="1"/>
                <c:pt idx="0">
                  <c:v>Количество владельцев акций (паев) (согласно сданной отчетности)</c:v>
                </c:pt>
              </c:strCache>
            </c:strRef>
          </c:tx>
          <c:cat>
            <c:strRef>
              <c:f>'Page1_1 (8)'!$A$57:$A$59</c:f>
              <c:strCache>
                <c:ptCount val="3"/>
                <c:pt idx="0">
                  <c:v>     Закрытые ПИФ</c:v>
                </c:pt>
                <c:pt idx="1">
                  <c:v>     Открытые ПИФ</c:v>
                </c:pt>
                <c:pt idx="2">
                  <c:v>     Интервальные ПИФ</c:v>
                </c:pt>
              </c:strCache>
            </c:strRef>
          </c:cat>
          <c:val>
            <c:numRef>
              <c:f>'Page1_1 (8)'!$B$62:$B$64</c:f>
              <c:numCache>
                <c:formatCode>General</c:formatCode>
                <c:ptCount val="3"/>
                <c:pt idx="0">
                  <c:v>10.925000000000001</c:v>
                </c:pt>
                <c:pt idx="1">
                  <c:v>397.64100000000002</c:v>
                </c:pt>
                <c:pt idx="2">
                  <c:v>31.881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1.2859361329833771E-2"/>
                  <c:y val="-1.65689705453484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2915573053368329E-3"/>
                  <c:y val="-2.47590405365995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7014435695538056E-3"/>
                  <c:y val="8.408428113152522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235531496062992E-2"/>
                  <c:y val="3.781532516768737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'Page1_1 (10)'!$G$12:$G$18</c:f>
              <c:strCache>
                <c:ptCount val="7"/>
                <c:pt idx="0">
                  <c:v>Комбинированный (5,9% от числа ИПИФов)</c:v>
                </c:pt>
                <c:pt idx="1">
                  <c:v>Хедж-фонд (26,5%)</c:v>
                </c:pt>
                <c:pt idx="2">
                  <c:v>Рыночных финансовых инструментов (23,5%)</c:v>
                </c:pt>
                <c:pt idx="3">
                  <c:v>Смешанных инвестиций (23,5%)</c:v>
                </c:pt>
                <c:pt idx="4">
                  <c:v>Акций (8,8%)</c:v>
                </c:pt>
                <c:pt idx="5">
                  <c:v>Товарного рынка (5,9%)</c:v>
                </c:pt>
                <c:pt idx="6">
                  <c:v>Фондов (5,9%)</c:v>
                </c:pt>
              </c:strCache>
            </c:strRef>
          </c:cat>
          <c:val>
            <c:numRef>
              <c:f>'Page1_1 (10)'!$H$12:$H$18</c:f>
              <c:numCache>
                <c:formatCode>#,##0.########</c:formatCode>
                <c:ptCount val="7"/>
                <c:pt idx="0">
                  <c:v>8926145850.3699989</c:v>
                </c:pt>
                <c:pt idx="1">
                  <c:v>4977945259.9800005</c:v>
                </c:pt>
                <c:pt idx="2">
                  <c:v>4505913458.7399998</c:v>
                </c:pt>
                <c:pt idx="3">
                  <c:v>1056708773.8699998</c:v>
                </c:pt>
                <c:pt idx="4">
                  <c:v>417590632.04000002</c:v>
                </c:pt>
                <c:pt idx="5">
                  <c:v>173253866.25999999</c:v>
                </c:pt>
                <c:pt idx="6">
                  <c:v>10645641.59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912642169728785"/>
          <c:y val="2.0844998541848937E-2"/>
          <c:w val="0.33420691163604549"/>
          <c:h val="0.9490507436570428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558549933387568E-2"/>
          <c:y val="5.0925925925925923E-2"/>
          <c:w val="0.86033217803628026"/>
          <c:h val="0.60628062117235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'3'!$A$6</c:f>
              <c:strCache>
                <c:ptCount val="1"/>
                <c:pt idx="0">
                  <c:v>ЗПИФ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'3'!$B$5:$AA$5</c:f>
              <c:strCache>
                <c:ptCount val="26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  <c:pt idx="24">
                  <c:v>I кв. 2022</c:v>
                </c:pt>
                <c:pt idx="25">
                  <c:v>II кв. 2022</c:v>
                </c:pt>
              </c:strCache>
            </c:strRef>
          </c:cat>
          <c:val>
            <c:numRef>
              <c:f>'3'!$B$6:$AA$6</c:f>
              <c:numCache>
                <c:formatCode>General</c:formatCode>
                <c:ptCount val="26"/>
                <c:pt idx="0">
                  <c:v>1134</c:v>
                </c:pt>
                <c:pt idx="1">
                  <c:v>1120</c:v>
                </c:pt>
                <c:pt idx="2">
                  <c:v>1135</c:v>
                </c:pt>
                <c:pt idx="3">
                  <c:v>1150</c:v>
                </c:pt>
                <c:pt idx="4">
                  <c:v>1131</c:v>
                </c:pt>
                <c:pt idx="5">
                  <c:v>1132</c:v>
                </c:pt>
                <c:pt idx="6">
                  <c:v>1136</c:v>
                </c:pt>
                <c:pt idx="7">
                  <c:v>1131</c:v>
                </c:pt>
                <c:pt idx="8">
                  <c:v>1117</c:v>
                </c:pt>
                <c:pt idx="9">
                  <c:v>1109</c:v>
                </c:pt>
                <c:pt idx="10">
                  <c:v>1111</c:v>
                </c:pt>
                <c:pt idx="11">
                  <c:v>1128</c:v>
                </c:pt>
                <c:pt idx="12">
                  <c:v>1134</c:v>
                </c:pt>
                <c:pt idx="13">
                  <c:v>1143</c:v>
                </c:pt>
                <c:pt idx="14">
                  <c:v>1193</c:v>
                </c:pt>
                <c:pt idx="15">
                  <c:v>1216</c:v>
                </c:pt>
                <c:pt idx="16">
                  <c:v>1216</c:v>
                </c:pt>
                <c:pt idx="17">
                  <c:v>1250</c:v>
                </c:pt>
                <c:pt idx="18">
                  <c:v>1272</c:v>
                </c:pt>
                <c:pt idx="19">
                  <c:v>1294</c:v>
                </c:pt>
                <c:pt idx="20">
                  <c:v>1316</c:v>
                </c:pt>
                <c:pt idx="21">
                  <c:v>1388</c:v>
                </c:pt>
                <c:pt idx="22">
                  <c:v>1460</c:v>
                </c:pt>
                <c:pt idx="23">
                  <c:v>1534</c:v>
                </c:pt>
                <c:pt idx="24">
                  <c:v>1595</c:v>
                </c:pt>
                <c:pt idx="25">
                  <c:v>1618</c:v>
                </c:pt>
              </c:numCache>
            </c:numRef>
          </c:val>
        </c:ser>
        <c:ser>
          <c:idx val="1"/>
          <c:order val="1"/>
          <c:tx>
            <c:strRef>
              <c:f>'3'!$A$7</c:f>
              <c:strCache>
                <c:ptCount val="1"/>
                <c:pt idx="0">
                  <c:v>ОПИФ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'3'!$B$5:$AA$5</c:f>
              <c:strCache>
                <c:ptCount val="26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  <c:pt idx="24">
                  <c:v>I кв. 2022</c:v>
                </c:pt>
                <c:pt idx="25">
                  <c:v>II кв. 2022</c:v>
                </c:pt>
              </c:strCache>
            </c:strRef>
          </c:cat>
          <c:val>
            <c:numRef>
              <c:f>'3'!$B$7:$AA$7</c:f>
              <c:numCache>
                <c:formatCode>General</c:formatCode>
                <c:ptCount val="26"/>
                <c:pt idx="0">
                  <c:v>364</c:v>
                </c:pt>
                <c:pt idx="1">
                  <c:v>362</c:v>
                </c:pt>
                <c:pt idx="2">
                  <c:v>353</c:v>
                </c:pt>
                <c:pt idx="3">
                  <c:v>356</c:v>
                </c:pt>
                <c:pt idx="4">
                  <c:v>338</c:v>
                </c:pt>
                <c:pt idx="5">
                  <c:v>332</c:v>
                </c:pt>
                <c:pt idx="6">
                  <c:v>331</c:v>
                </c:pt>
                <c:pt idx="7">
                  <c:v>327</c:v>
                </c:pt>
                <c:pt idx="8">
                  <c:v>325</c:v>
                </c:pt>
                <c:pt idx="9">
                  <c:v>312</c:v>
                </c:pt>
                <c:pt idx="10">
                  <c:v>303</c:v>
                </c:pt>
                <c:pt idx="11">
                  <c:v>268</c:v>
                </c:pt>
                <c:pt idx="12">
                  <c:v>267</c:v>
                </c:pt>
                <c:pt idx="13">
                  <c:v>265</c:v>
                </c:pt>
                <c:pt idx="14">
                  <c:v>264</c:v>
                </c:pt>
                <c:pt idx="15">
                  <c:v>255</c:v>
                </c:pt>
                <c:pt idx="16">
                  <c:v>254</c:v>
                </c:pt>
                <c:pt idx="17">
                  <c:v>256</c:v>
                </c:pt>
                <c:pt idx="18">
                  <c:v>257</c:v>
                </c:pt>
                <c:pt idx="19">
                  <c:v>261</c:v>
                </c:pt>
                <c:pt idx="20">
                  <c:v>259</c:v>
                </c:pt>
                <c:pt idx="21">
                  <c:v>255</c:v>
                </c:pt>
                <c:pt idx="22">
                  <c:v>251</c:v>
                </c:pt>
                <c:pt idx="23">
                  <c:v>262</c:v>
                </c:pt>
                <c:pt idx="24">
                  <c:v>264</c:v>
                </c:pt>
                <c:pt idx="25">
                  <c:v>272</c:v>
                </c:pt>
              </c:numCache>
            </c:numRef>
          </c:val>
        </c:ser>
        <c:ser>
          <c:idx val="2"/>
          <c:order val="2"/>
          <c:tx>
            <c:strRef>
              <c:f>'3'!$A$8</c:f>
              <c:strCache>
                <c:ptCount val="1"/>
                <c:pt idx="0">
                  <c:v>ИПИФ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'3'!$B$5:$AA$5</c:f>
              <c:strCache>
                <c:ptCount val="26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  <c:pt idx="24">
                  <c:v>I кв. 2022</c:v>
                </c:pt>
                <c:pt idx="25">
                  <c:v>II кв. 2022</c:v>
                </c:pt>
              </c:strCache>
            </c:strRef>
          </c:cat>
          <c:val>
            <c:numRef>
              <c:f>'3'!$B$8:$AA$8</c:f>
              <c:numCache>
                <c:formatCode>General</c:formatCode>
                <c:ptCount val="26"/>
                <c:pt idx="0">
                  <c:v>49</c:v>
                </c:pt>
                <c:pt idx="1">
                  <c:v>49</c:v>
                </c:pt>
                <c:pt idx="2">
                  <c:v>46</c:v>
                </c:pt>
                <c:pt idx="3">
                  <c:v>47</c:v>
                </c:pt>
                <c:pt idx="4">
                  <c:v>43</c:v>
                </c:pt>
                <c:pt idx="5">
                  <c:v>36</c:v>
                </c:pt>
                <c:pt idx="6">
                  <c:v>37</c:v>
                </c:pt>
                <c:pt idx="7">
                  <c:v>39</c:v>
                </c:pt>
                <c:pt idx="8">
                  <c:v>43</c:v>
                </c:pt>
                <c:pt idx="9">
                  <c:v>43</c:v>
                </c:pt>
                <c:pt idx="10">
                  <c:v>42</c:v>
                </c:pt>
                <c:pt idx="11">
                  <c:v>40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40</c:v>
                </c:pt>
                <c:pt idx="16">
                  <c:v>43</c:v>
                </c:pt>
                <c:pt idx="17">
                  <c:v>41</c:v>
                </c:pt>
                <c:pt idx="18">
                  <c:v>39</c:v>
                </c:pt>
                <c:pt idx="19">
                  <c:v>35</c:v>
                </c:pt>
                <c:pt idx="20">
                  <c:v>39</c:v>
                </c:pt>
                <c:pt idx="21">
                  <c:v>45</c:v>
                </c:pt>
                <c:pt idx="22">
                  <c:v>40</c:v>
                </c:pt>
                <c:pt idx="23">
                  <c:v>44</c:v>
                </c:pt>
                <c:pt idx="24">
                  <c:v>46</c:v>
                </c:pt>
                <c:pt idx="25">
                  <c:v>47</c:v>
                </c:pt>
              </c:numCache>
            </c:numRef>
          </c:val>
        </c:ser>
        <c:ser>
          <c:idx val="3"/>
          <c:order val="3"/>
          <c:tx>
            <c:strRef>
              <c:f>'3'!$A$9</c:f>
              <c:strCache>
                <c:ptCount val="1"/>
                <c:pt idx="0">
                  <c:v>БПИФ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'3'!$B$5:$AA$5</c:f>
              <c:strCache>
                <c:ptCount val="26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  <c:pt idx="24">
                  <c:v>I кв. 2022</c:v>
                </c:pt>
                <c:pt idx="25">
                  <c:v>II кв. 2022</c:v>
                </c:pt>
              </c:strCache>
            </c:strRef>
          </c:cat>
          <c:val>
            <c:numRef>
              <c:f>'3'!$B$9:$AA$9</c:f>
              <c:numCache>
                <c:formatCode>General</c:formatCode>
                <c:ptCount val="26"/>
                <c:pt idx="10">
                  <c:v>1</c:v>
                </c:pt>
                <c:pt idx="11">
                  <c:v>4</c:v>
                </c:pt>
                <c:pt idx="12">
                  <c:v>7</c:v>
                </c:pt>
                <c:pt idx="13">
                  <c:v>12</c:v>
                </c:pt>
                <c:pt idx="14">
                  <c:v>15</c:v>
                </c:pt>
                <c:pt idx="15">
                  <c:v>20</c:v>
                </c:pt>
                <c:pt idx="16">
                  <c:v>21</c:v>
                </c:pt>
                <c:pt idx="17">
                  <c:v>26</c:v>
                </c:pt>
                <c:pt idx="18">
                  <c:v>34</c:v>
                </c:pt>
                <c:pt idx="19">
                  <c:v>41</c:v>
                </c:pt>
                <c:pt idx="20">
                  <c:v>58</c:v>
                </c:pt>
                <c:pt idx="21">
                  <c:v>76</c:v>
                </c:pt>
                <c:pt idx="22">
                  <c:v>94</c:v>
                </c:pt>
                <c:pt idx="23">
                  <c:v>125</c:v>
                </c:pt>
                <c:pt idx="24">
                  <c:v>126</c:v>
                </c:pt>
                <c:pt idx="25">
                  <c:v>129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1289472"/>
        <c:axId val="301291008"/>
      </c:barChart>
      <c:catAx>
        <c:axId val="30128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1291008"/>
        <c:crosses val="autoZero"/>
        <c:auto val="1"/>
        <c:lblAlgn val="ctr"/>
        <c:lblOffset val="100"/>
        <c:noMultiLvlLbl val="0"/>
      </c:catAx>
      <c:valAx>
        <c:axId val="3012910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1289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314350720479583E-2"/>
          <c:y val="5.0925925925925923E-2"/>
          <c:w val="0.85214186662025304"/>
          <c:h val="0.530469889180519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'4'!$A$6</c:f>
              <c:strCache>
                <c:ptCount val="1"/>
                <c:pt idx="0">
                  <c:v>Количество УК, осуществляющих Д.У. ПИФ, ед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'4'!$B$5:$AA$5</c:f>
              <c:strCache>
                <c:ptCount val="26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  <c:pt idx="24">
                  <c:v>I кв. 2022</c:v>
                </c:pt>
                <c:pt idx="25">
                  <c:v>II кв. 2022</c:v>
                </c:pt>
              </c:strCache>
            </c:strRef>
          </c:cat>
          <c:val>
            <c:numRef>
              <c:f>'4'!$B$6:$AA$6</c:f>
              <c:numCache>
                <c:formatCode>General</c:formatCode>
                <c:ptCount val="26"/>
                <c:pt idx="0">
                  <c:v>321</c:v>
                </c:pt>
                <c:pt idx="1">
                  <c:v>314</c:v>
                </c:pt>
                <c:pt idx="2">
                  <c:v>308</c:v>
                </c:pt>
                <c:pt idx="3">
                  <c:v>301</c:v>
                </c:pt>
                <c:pt idx="4">
                  <c:v>292</c:v>
                </c:pt>
                <c:pt idx="5">
                  <c:v>286</c:v>
                </c:pt>
                <c:pt idx="6">
                  <c:v>279</c:v>
                </c:pt>
                <c:pt idx="7">
                  <c:v>278</c:v>
                </c:pt>
                <c:pt idx="8">
                  <c:v>273</c:v>
                </c:pt>
                <c:pt idx="9">
                  <c:v>261</c:v>
                </c:pt>
                <c:pt idx="10">
                  <c:v>270</c:v>
                </c:pt>
                <c:pt idx="11">
                  <c:v>260</c:v>
                </c:pt>
                <c:pt idx="12">
                  <c:v>260</c:v>
                </c:pt>
                <c:pt idx="13">
                  <c:v>256</c:v>
                </c:pt>
                <c:pt idx="14">
                  <c:v>251</c:v>
                </c:pt>
                <c:pt idx="15">
                  <c:v>257</c:v>
                </c:pt>
                <c:pt idx="16">
                  <c:v>258</c:v>
                </c:pt>
                <c:pt idx="17">
                  <c:v>256</c:v>
                </c:pt>
                <c:pt idx="18">
                  <c:v>255</c:v>
                </c:pt>
                <c:pt idx="19">
                  <c:v>251</c:v>
                </c:pt>
                <c:pt idx="20">
                  <c:v>262</c:v>
                </c:pt>
                <c:pt idx="21">
                  <c:v>264</c:v>
                </c:pt>
                <c:pt idx="22">
                  <c:v>256</c:v>
                </c:pt>
                <c:pt idx="23">
                  <c:v>241</c:v>
                </c:pt>
                <c:pt idx="24">
                  <c:v>244</c:v>
                </c:pt>
                <c:pt idx="25">
                  <c:v>261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416448"/>
        <c:axId val="301417984"/>
      </c:barChart>
      <c:lineChart>
        <c:grouping val="standard"/>
        <c:varyColors val="0"/>
        <c:ser>
          <c:idx val="1"/>
          <c:order val="1"/>
          <c:tx>
            <c:strRef>
              <c:f>'4'!$A$7</c:f>
              <c:strCache>
                <c:ptCount val="1"/>
                <c:pt idx="0">
                  <c:v>Квартальная динамика количества УК (пр. шкала),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'4'!$B$5:$AA$5</c:f>
              <c:strCache>
                <c:ptCount val="26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  <c:pt idx="24">
                  <c:v>I кв. 2022</c:v>
                </c:pt>
                <c:pt idx="25">
                  <c:v>II кв. 2022</c:v>
                </c:pt>
              </c:strCache>
            </c:strRef>
          </c:cat>
          <c:val>
            <c:numRef>
              <c:f>'4'!$B$7:$AA$7</c:f>
              <c:numCache>
                <c:formatCode>0.0</c:formatCode>
                <c:ptCount val="26"/>
                <c:pt idx="0">
                  <c:v>-4.46428571428571</c:v>
                </c:pt>
                <c:pt idx="1">
                  <c:v>-2.180685358255452</c:v>
                </c:pt>
                <c:pt idx="2">
                  <c:v>-1.9108280254777066</c:v>
                </c:pt>
                <c:pt idx="3">
                  <c:v>-2.2727272727272707</c:v>
                </c:pt>
                <c:pt idx="4">
                  <c:v>-2.9900332225913595</c:v>
                </c:pt>
                <c:pt idx="5">
                  <c:v>-2.0547945205479423</c:v>
                </c:pt>
                <c:pt idx="6">
                  <c:v>-2.4475524475524479</c:v>
                </c:pt>
                <c:pt idx="7">
                  <c:v>-0.35842293906810374</c:v>
                </c:pt>
                <c:pt idx="8">
                  <c:v>-1.7985611510791366</c:v>
                </c:pt>
                <c:pt idx="9">
                  <c:v>-4.3956043956043906</c:v>
                </c:pt>
                <c:pt idx="10">
                  <c:v>3.4482758620689724</c:v>
                </c:pt>
                <c:pt idx="11">
                  <c:v>-3.703703703703709</c:v>
                </c:pt>
                <c:pt idx="12">
                  <c:v>0</c:v>
                </c:pt>
                <c:pt idx="13">
                  <c:v>-1.538461538461533</c:v>
                </c:pt>
                <c:pt idx="14">
                  <c:v>-1.953125</c:v>
                </c:pt>
                <c:pt idx="15">
                  <c:v>2.3904382470119501</c:v>
                </c:pt>
                <c:pt idx="16">
                  <c:v>0.38910505836575737</c:v>
                </c:pt>
                <c:pt idx="17">
                  <c:v>-0.77519379844961378</c:v>
                </c:pt>
                <c:pt idx="18">
                  <c:v>-0.390625</c:v>
                </c:pt>
                <c:pt idx="19">
                  <c:v>-1.5686274509803977</c:v>
                </c:pt>
                <c:pt idx="20">
                  <c:v>4.3824701195219085</c:v>
                </c:pt>
                <c:pt idx="21">
                  <c:v>0.76335877862594437</c:v>
                </c:pt>
                <c:pt idx="22">
                  <c:v>-3.0303030303030276</c:v>
                </c:pt>
                <c:pt idx="23">
                  <c:v>-5.859375</c:v>
                </c:pt>
                <c:pt idx="24">
                  <c:v>1.2448132780082943</c:v>
                </c:pt>
                <c:pt idx="25">
                  <c:v>6.9672131147541005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421312"/>
        <c:axId val="301419520"/>
      </c:lineChart>
      <c:catAx>
        <c:axId val="30141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1417984"/>
        <c:crosses val="autoZero"/>
        <c:auto val="1"/>
        <c:lblAlgn val="ctr"/>
        <c:lblOffset val="100"/>
        <c:noMultiLvlLbl val="0"/>
      </c:catAx>
      <c:valAx>
        <c:axId val="301417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1416448"/>
        <c:crosses val="autoZero"/>
        <c:crossBetween val="between"/>
      </c:valAx>
      <c:valAx>
        <c:axId val="301419520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1421312"/>
        <c:crosses val="max"/>
        <c:crossBetween val="between"/>
      </c:valAx>
      <c:catAx>
        <c:axId val="301421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14195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465525846889251E-2"/>
          <c:y val="7.4954057441661615E-2"/>
          <c:w val="0.90430553721226481"/>
          <c:h val="0.613746101983257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'5'!$A$7</c:f>
              <c:strCache>
                <c:ptCount val="1"/>
                <c:pt idx="0">
                  <c:v>Активы, трлн рублей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'5'!$B$6:$Z$6</c:f>
              <c:strCache>
                <c:ptCount val="25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  <c:pt idx="24">
                  <c:v>iI кв. 2022</c:v>
                </c:pt>
              </c:strCache>
            </c:strRef>
          </c:cat>
          <c:val>
            <c:numRef>
              <c:f>'5'!$B$7:$Z$7</c:f>
              <c:numCache>
                <c:formatCode>General</c:formatCode>
                <c:ptCount val="25"/>
                <c:pt idx="0">
                  <c:v>2680.2006362470902</c:v>
                </c:pt>
                <c:pt idx="1">
                  <c:v>2618.1251149773002</c:v>
                </c:pt>
                <c:pt idx="2">
                  <c:v>2675.0682575040701</c:v>
                </c:pt>
                <c:pt idx="3">
                  <c:v>2835.1953438395599</c:v>
                </c:pt>
                <c:pt idx="4">
                  <c:v>3033.53</c:v>
                </c:pt>
                <c:pt idx="5">
                  <c:v>2955.5390075243699</c:v>
                </c:pt>
                <c:pt idx="6">
                  <c:v>3036.1627113352502</c:v>
                </c:pt>
                <c:pt idx="7">
                  <c:v>3309.1667634098999</c:v>
                </c:pt>
                <c:pt idx="8">
                  <c:v>3355.0968676818702</c:v>
                </c:pt>
                <c:pt idx="9">
                  <c:v>3447.0388456641372</c:v>
                </c:pt>
                <c:pt idx="10">
                  <c:v>3555.3838520188551</c:v>
                </c:pt>
                <c:pt idx="11">
                  <c:v>3665.5459961449478</c:v>
                </c:pt>
                <c:pt idx="12">
                  <c:v>3746.2027885540001</c:v>
                </c:pt>
                <c:pt idx="13">
                  <c:v>3946</c:v>
                </c:pt>
                <c:pt idx="14">
                  <c:v>4476.8789182960081</c:v>
                </c:pt>
                <c:pt idx="15">
                  <c:v>5151.3044</c:v>
                </c:pt>
                <c:pt idx="16">
                  <c:v>4873.3894975816002</c:v>
                </c:pt>
                <c:pt idx="17">
                  <c:v>5105.0503193076893</c:v>
                </c:pt>
                <c:pt idx="18">
                  <c:v>5546.1346822855103</c:v>
                </c:pt>
                <c:pt idx="19">
                  <c:v>5793.1966194471497</c:v>
                </c:pt>
                <c:pt idx="20">
                  <c:v>6164.8337013250202</c:v>
                </c:pt>
                <c:pt idx="21">
                  <c:v>6884.8464859599098</c:v>
                </c:pt>
                <c:pt idx="22" formatCode="0.0">
                  <c:v>7617.4546422723197</c:v>
                </c:pt>
                <c:pt idx="23" formatCode="0.0">
                  <c:v>7957.6194884578799</c:v>
                </c:pt>
                <c:pt idx="24" formatCode="0">
                  <c:v>7614.226766623503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452288"/>
        <c:axId val="301458176"/>
      </c:barChart>
      <c:lineChart>
        <c:grouping val="standard"/>
        <c:varyColors val="0"/>
        <c:ser>
          <c:idx val="1"/>
          <c:order val="1"/>
          <c:tx>
            <c:strRef>
              <c:f>'5'!$A$8</c:f>
              <c:strCache>
                <c:ptCount val="1"/>
                <c:pt idx="0">
                  <c:v>Отношение активов к ВВП (пр. шкала),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'5'!$B$6:$Z$6</c:f>
              <c:strCache>
                <c:ptCount val="25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 кв. 2020</c:v>
                </c:pt>
                <c:pt idx="17">
                  <c:v>II кв. 2020</c:v>
                </c:pt>
                <c:pt idx="18">
                  <c:v>III кв. 2020</c:v>
                </c:pt>
                <c:pt idx="19">
                  <c:v>IV кв. 2020</c:v>
                </c:pt>
                <c:pt idx="20">
                  <c:v>I кв. 2021</c:v>
                </c:pt>
                <c:pt idx="21">
                  <c:v>II кв. 2021</c:v>
                </c:pt>
                <c:pt idx="22">
                  <c:v>III кв. 2021</c:v>
                </c:pt>
                <c:pt idx="23">
                  <c:v>IV кв. 2021</c:v>
                </c:pt>
                <c:pt idx="24">
                  <c:v>iI кв. 2022</c:v>
                </c:pt>
              </c:strCache>
            </c:strRef>
          </c:cat>
          <c:val>
            <c:numRef>
              <c:f>'5'!$B$8:$Z$8</c:f>
              <c:numCache>
                <c:formatCode>General</c:formatCode>
                <c:ptCount val="25"/>
                <c:pt idx="0">
                  <c:v>3.2</c:v>
                </c:pt>
                <c:pt idx="1">
                  <c:v>3.1</c:v>
                </c:pt>
                <c:pt idx="2">
                  <c:v>3.2328516557078615</c:v>
                </c:pt>
                <c:pt idx="3">
                  <c:v>3.3013240126089984</c:v>
                </c:pt>
                <c:pt idx="4">
                  <c:v>3.5217203958421122</c:v>
                </c:pt>
                <c:pt idx="5">
                  <c:v>3.3</c:v>
                </c:pt>
                <c:pt idx="6">
                  <c:v>3.4</c:v>
                </c:pt>
                <c:pt idx="7">
                  <c:v>3.6</c:v>
                </c:pt>
                <c:pt idx="8">
                  <c:v>3.62</c:v>
                </c:pt>
                <c:pt idx="9">
                  <c:v>3.57</c:v>
                </c:pt>
                <c:pt idx="10">
                  <c:v>3.5697813288908051</c:v>
                </c:pt>
                <c:pt idx="11">
                  <c:v>3.5372648202337813</c:v>
                </c:pt>
                <c:pt idx="12">
                  <c:v>3.5</c:v>
                </c:pt>
                <c:pt idx="13">
                  <c:v>3.7</c:v>
                </c:pt>
                <c:pt idx="14">
                  <c:v>4.0999999999999996</c:v>
                </c:pt>
                <c:pt idx="15">
                  <c:v>4.7</c:v>
                </c:pt>
                <c:pt idx="16">
                  <c:v>4.4000000000000004</c:v>
                </c:pt>
                <c:pt idx="17">
                  <c:v>4.8</c:v>
                </c:pt>
                <c:pt idx="18">
                  <c:v>5.2</c:v>
                </c:pt>
                <c:pt idx="19">
                  <c:v>5.4</c:v>
                </c:pt>
                <c:pt idx="20" formatCode="0.0">
                  <c:v>5.7709725007739996</c:v>
                </c:pt>
                <c:pt idx="21" formatCode="0.0">
                  <c:v>5.9263842382160004</c:v>
                </c:pt>
                <c:pt idx="22" formatCode="0.0">
                  <c:v>6.2181652766873725</c:v>
                </c:pt>
                <c:pt idx="23" formatCode="0.0">
                  <c:v>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349568"/>
        <c:axId val="301460096"/>
      </c:lineChart>
      <c:catAx>
        <c:axId val="30145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1458176"/>
        <c:crosses val="autoZero"/>
        <c:auto val="1"/>
        <c:lblAlgn val="ctr"/>
        <c:lblOffset val="100"/>
        <c:noMultiLvlLbl val="0"/>
      </c:catAx>
      <c:valAx>
        <c:axId val="301458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1452288"/>
        <c:crosses val="autoZero"/>
        <c:crossBetween val="between"/>
        <c:dispUnits>
          <c:builtInUnit val="thousands"/>
        </c:dispUnits>
      </c:valAx>
      <c:valAx>
        <c:axId val="301460096"/>
        <c:scaling>
          <c:orientation val="minMax"/>
          <c:max val="7"/>
          <c:min val="0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4349568"/>
        <c:crosses val="max"/>
        <c:crossBetween val="between"/>
      </c:valAx>
      <c:catAx>
        <c:axId val="304349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14600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122703412073493E-2"/>
          <c:y val="5.0925925925925923E-2"/>
          <c:w val="0.88254396325459317"/>
          <c:h val="0.7210637212015165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'6'!$A$8</c:f>
              <c:strCache>
                <c:ptCount val="1"/>
                <c:pt idx="0">
                  <c:v>Объем выдачи ЗПИФ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'6'!$B$6:$AA$6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  <c:pt idx="16">
                  <c:v>III кв. 2021</c:v>
                </c:pt>
                <c:pt idx="17">
                  <c:v>IV кв. 2021</c:v>
                </c:pt>
                <c:pt idx="18">
                  <c:v>II кв. 2022</c:v>
                </c:pt>
              </c:strCache>
            </c:strRef>
          </c:cat>
          <c:val>
            <c:numRef>
              <c:f>'6'!$B$8:$AA$8</c:f>
              <c:numCache>
                <c:formatCode>0.0</c:formatCode>
                <c:ptCount val="19"/>
                <c:pt idx="0">
                  <c:v>30.288742969120001</c:v>
                </c:pt>
                <c:pt idx="1">
                  <c:v>49.686456963049999</c:v>
                </c:pt>
                <c:pt idx="2">
                  <c:v>245.98797150562001</c:v>
                </c:pt>
                <c:pt idx="3">
                  <c:v>70.056450030199997</c:v>
                </c:pt>
                <c:pt idx="4">
                  <c:v>58.192776489899991</c:v>
                </c:pt>
                <c:pt idx="5">
                  <c:v>18.991603916779997</c:v>
                </c:pt>
                <c:pt idx="6">
                  <c:v>75.015964892260016</c:v>
                </c:pt>
                <c:pt idx="7">
                  <c:v>88.520644072620001</c:v>
                </c:pt>
                <c:pt idx="8">
                  <c:v>68.212460041000014</c:v>
                </c:pt>
                <c:pt idx="9">
                  <c:v>259.86098708338</c:v>
                </c:pt>
                <c:pt idx="10">
                  <c:v>177.39722636759601</c:v>
                </c:pt>
                <c:pt idx="11">
                  <c:v>62.1</c:v>
                </c:pt>
                <c:pt idx="12">
                  <c:v>127.60695159396001</c:v>
                </c:pt>
                <c:pt idx="13">
                  <c:v>139.44174387152901</c:v>
                </c:pt>
                <c:pt idx="14" formatCode="0">
                  <c:v>186.93206050070299</c:v>
                </c:pt>
                <c:pt idx="15" formatCode="0">
                  <c:v>105.752711983187</c:v>
                </c:pt>
                <c:pt idx="16" formatCode="0">
                  <c:v>148.81648154628701</c:v>
                </c:pt>
                <c:pt idx="17" formatCode="0">
                  <c:v>291</c:v>
                </c:pt>
                <c:pt idx="18" formatCode="0">
                  <c:v>415</c:v>
                </c:pt>
              </c:numCache>
            </c:numRef>
          </c:val>
        </c:ser>
        <c:ser>
          <c:idx val="2"/>
          <c:order val="2"/>
          <c:tx>
            <c:strRef>
              <c:f>'6'!$A$9</c:f>
              <c:strCache>
                <c:ptCount val="1"/>
                <c:pt idx="0">
                  <c:v>Объем погашения ЗПИФ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'6'!$B$6:$AA$6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  <c:pt idx="16">
                  <c:v>III кв. 2021</c:v>
                </c:pt>
                <c:pt idx="17">
                  <c:v>IV кв. 2021</c:v>
                </c:pt>
                <c:pt idx="18">
                  <c:v>II кв. 2022</c:v>
                </c:pt>
              </c:strCache>
            </c:strRef>
          </c:cat>
          <c:val>
            <c:numRef>
              <c:f>'6'!$B$9:$AA$9</c:f>
              <c:numCache>
                <c:formatCode>0.0</c:formatCode>
                <c:ptCount val="19"/>
                <c:pt idx="0">
                  <c:v>49.628104343540002</c:v>
                </c:pt>
                <c:pt idx="1">
                  <c:v>8.21294454493</c:v>
                </c:pt>
                <c:pt idx="2">
                  <c:v>8.167367844490002</c:v>
                </c:pt>
                <c:pt idx="3">
                  <c:v>21.976821975389999</c:v>
                </c:pt>
                <c:pt idx="4">
                  <c:v>9.1885281404099999</c:v>
                </c:pt>
                <c:pt idx="5">
                  <c:v>16.765882652190001</c:v>
                </c:pt>
                <c:pt idx="6">
                  <c:v>31.947364998809999</c:v>
                </c:pt>
                <c:pt idx="7">
                  <c:v>16.623176153350002</c:v>
                </c:pt>
                <c:pt idx="8">
                  <c:v>10.005615734220001</c:v>
                </c:pt>
                <c:pt idx="9">
                  <c:v>15.099077592429998</c:v>
                </c:pt>
                <c:pt idx="10">
                  <c:v>29.0237247174</c:v>
                </c:pt>
                <c:pt idx="11">
                  <c:v>19.8</c:v>
                </c:pt>
                <c:pt idx="12">
                  <c:v>19.32968141468</c:v>
                </c:pt>
                <c:pt idx="13">
                  <c:v>41.124961326570002</c:v>
                </c:pt>
                <c:pt idx="14" formatCode="0">
                  <c:v>14.05617226102</c:v>
                </c:pt>
                <c:pt idx="15" formatCode="0">
                  <c:v>14.87704844117</c:v>
                </c:pt>
                <c:pt idx="16" formatCode="0">
                  <c:v>44.079595188600003</c:v>
                </c:pt>
                <c:pt idx="17" formatCode="0">
                  <c:v>28</c:v>
                </c:pt>
                <c:pt idx="18" formatCode="0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514560"/>
        <c:axId val="304516096"/>
      </c:barChart>
      <c:lineChart>
        <c:grouping val="standard"/>
        <c:varyColors val="0"/>
        <c:ser>
          <c:idx val="0"/>
          <c:order val="0"/>
          <c:tx>
            <c:strRef>
              <c:f>'6'!$A$7</c:f>
              <c:strCache>
                <c:ptCount val="1"/>
                <c:pt idx="0">
                  <c:v>Нетто-приток/отток ЗПИФ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'6'!$B$6:$AA$6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  <c:pt idx="16">
                  <c:v>III кв. 2021</c:v>
                </c:pt>
                <c:pt idx="17">
                  <c:v>IV кв. 2021</c:v>
                </c:pt>
                <c:pt idx="18">
                  <c:v>II кв. 2022</c:v>
                </c:pt>
              </c:strCache>
            </c:strRef>
          </c:cat>
          <c:val>
            <c:numRef>
              <c:f>'6'!$B$7:$AA$7</c:f>
              <c:numCache>
                <c:formatCode>0.0</c:formatCode>
                <c:ptCount val="19"/>
                <c:pt idx="0">
                  <c:v>-19.339361374420001</c:v>
                </c:pt>
                <c:pt idx="1">
                  <c:v>41.473512418120002</c:v>
                </c:pt>
                <c:pt idx="2">
                  <c:v>237.82060366112998</c:v>
                </c:pt>
                <c:pt idx="3">
                  <c:v>48.079628054810001</c:v>
                </c:pt>
                <c:pt idx="4">
                  <c:v>49.004248349489991</c:v>
                </c:pt>
                <c:pt idx="5">
                  <c:v>2.2257212645899962</c:v>
                </c:pt>
                <c:pt idx="6">
                  <c:v>43.068599893450013</c:v>
                </c:pt>
                <c:pt idx="7">
                  <c:v>71.897467919269999</c:v>
                </c:pt>
                <c:pt idx="8">
                  <c:v>58.206844306780013</c:v>
                </c:pt>
                <c:pt idx="9">
                  <c:v>244.76190949094999</c:v>
                </c:pt>
                <c:pt idx="10">
                  <c:v>148.373501650196</c:v>
                </c:pt>
                <c:pt idx="11">
                  <c:v>42.3</c:v>
                </c:pt>
                <c:pt idx="12">
                  <c:v>108.27727017927999</c:v>
                </c:pt>
                <c:pt idx="13">
                  <c:v>98.316782544958997</c:v>
                </c:pt>
                <c:pt idx="14" formatCode="0">
                  <c:v>172.87588823968301</c:v>
                </c:pt>
                <c:pt idx="15" formatCode="0">
                  <c:v>90.875663542016994</c:v>
                </c:pt>
                <c:pt idx="16" formatCode="0">
                  <c:v>104.736886357687</c:v>
                </c:pt>
                <c:pt idx="17" formatCode="0">
                  <c:v>263</c:v>
                </c:pt>
                <c:pt idx="18" formatCode="0">
                  <c:v>380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'6'!$A$10</c:f>
              <c:strCache>
                <c:ptCount val="1"/>
                <c:pt idx="0">
                  <c:v>Выдача и погашение ивестиционных паев ПИФ за квартал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'6'!$B$6:$AA$6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  <c:pt idx="16">
                  <c:v>III кв. 2021</c:v>
                </c:pt>
                <c:pt idx="17">
                  <c:v>IV кв. 2021</c:v>
                </c:pt>
                <c:pt idx="18">
                  <c:v>II кв. 2022</c:v>
                </c:pt>
              </c:strCache>
            </c:strRef>
          </c:cat>
          <c:val>
            <c:numRef>
              <c:f>'6'!$B$10:$AA$10</c:f>
            </c:numRef>
          </c:val>
          <c:smooth val="0"/>
        </c:ser>
        <c:ser>
          <c:idx val="4"/>
          <c:order val="4"/>
          <c:tx>
            <c:strRef>
              <c:f>'6'!$A$11</c:f>
              <c:strCache>
                <c:ptCount val="1"/>
                <c:pt idx="0">
                  <c:v>Объем выдачи за квартал</c:v>
                </c:pt>
              </c:strCache>
            </c:strRef>
          </c:tx>
          <c:marker>
            <c:symbol val="none"/>
          </c:marker>
          <c:cat>
            <c:strRef>
              <c:f>'6'!$B$6:$AA$6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  <c:pt idx="16">
                  <c:v>III кв. 2021</c:v>
                </c:pt>
                <c:pt idx="17">
                  <c:v>IV кв. 2021</c:v>
                </c:pt>
                <c:pt idx="18">
                  <c:v>II кв. 2022</c:v>
                </c:pt>
              </c:strCache>
            </c:strRef>
          </c:cat>
          <c:val>
            <c:numRef>
              <c:f>'6'!$B$11:$AA$11</c:f>
            </c:numRef>
          </c:val>
          <c:smooth val="0"/>
        </c:ser>
        <c:ser>
          <c:idx val="5"/>
          <c:order val="5"/>
          <c:tx>
            <c:strRef>
              <c:f>'6'!$A$12</c:f>
              <c:strCache>
                <c:ptCount val="1"/>
                <c:pt idx="0">
                  <c:v>Объем погашения за квартал</c:v>
                </c:pt>
              </c:strCache>
            </c:strRef>
          </c:tx>
          <c:marker>
            <c:symbol val="none"/>
          </c:marker>
          <c:cat>
            <c:strRef>
              <c:f>'6'!$B$6:$AA$6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  <c:pt idx="16">
                  <c:v>III кв. 2021</c:v>
                </c:pt>
                <c:pt idx="17">
                  <c:v>IV кв. 2021</c:v>
                </c:pt>
                <c:pt idx="18">
                  <c:v>II кв. 2022</c:v>
                </c:pt>
              </c:strCache>
            </c:strRef>
          </c:cat>
          <c:val>
            <c:numRef>
              <c:f>'6'!$B$12:$AA$12</c:f>
            </c:numRef>
          </c:val>
          <c:smooth val="0"/>
        </c:ser>
        <c:ser>
          <c:idx val="6"/>
          <c:order val="6"/>
          <c:tx>
            <c:strRef>
              <c:f>'6'!$A$13</c:f>
              <c:strCache>
                <c:ptCount val="1"/>
                <c:pt idx="0">
                  <c:v>Прирост СЧА ЗПИФ за квартал</c:v>
                </c:pt>
              </c:strCache>
            </c:strRef>
          </c:tx>
          <c:marker>
            <c:symbol val="none"/>
          </c:marker>
          <c:cat>
            <c:strRef>
              <c:f>'6'!$B$6:$AA$6</c:f>
              <c:strCache>
                <c:ptCount val="19"/>
                <c:pt idx="0">
                  <c:v>II кв. 2017</c:v>
                </c:pt>
                <c:pt idx="1">
                  <c:v>III кв. 2017</c:v>
                </c:pt>
                <c:pt idx="2">
                  <c:v>IV кв. 2017</c:v>
                </c:pt>
                <c:pt idx="3">
                  <c:v>I кв. 2018</c:v>
                </c:pt>
                <c:pt idx="4">
                  <c:v>II кв. 2018</c:v>
                </c:pt>
                <c:pt idx="5">
                  <c:v>III кв. 2018</c:v>
                </c:pt>
                <c:pt idx="6">
                  <c:v>IV кв. 2018</c:v>
                </c:pt>
                <c:pt idx="7">
                  <c:v>I кв. 2019</c:v>
                </c:pt>
                <c:pt idx="8">
                  <c:v>II кв. 2019</c:v>
                </c:pt>
                <c:pt idx="9">
                  <c:v>III кв. 2019</c:v>
                </c:pt>
                <c:pt idx="10">
                  <c:v>IV кв. 2019</c:v>
                </c:pt>
                <c:pt idx="11">
                  <c:v>II кв. 2020</c:v>
                </c:pt>
                <c:pt idx="12">
                  <c:v>III кв. 2020</c:v>
                </c:pt>
                <c:pt idx="13">
                  <c:v>IV кв. 2020</c:v>
                </c:pt>
                <c:pt idx="14">
                  <c:v>I кв. 2021</c:v>
                </c:pt>
                <c:pt idx="15">
                  <c:v>II кв. 2021</c:v>
                </c:pt>
                <c:pt idx="16">
                  <c:v>III кв. 2021</c:v>
                </c:pt>
                <c:pt idx="17">
                  <c:v>IV кв. 2021</c:v>
                </c:pt>
                <c:pt idx="18">
                  <c:v>II кв. 2022</c:v>
                </c:pt>
              </c:strCache>
            </c:strRef>
          </c:cat>
          <c:val>
            <c:numRef>
              <c:f>'6'!$B$13:$AA$13</c:f>
              <c:numCache>
                <c:formatCode>0.0</c:formatCode>
                <c:ptCount val="19"/>
                <c:pt idx="0">
                  <c:v>-97.716695585190777</c:v>
                </c:pt>
                <c:pt idx="1">
                  <c:v>31.990900511479936</c:v>
                </c:pt>
                <c:pt idx="2">
                  <c:v>195.17042407756114</c:v>
                </c:pt>
                <c:pt idx="3">
                  <c:v>35.833995912020093</c:v>
                </c:pt>
                <c:pt idx="4">
                  <c:v>43.774161335799377</c:v>
                </c:pt>
                <c:pt idx="5">
                  <c:v>64.242705405029469</c:v>
                </c:pt>
                <c:pt idx="6">
                  <c:v>151.73105181370116</c:v>
                </c:pt>
                <c:pt idx="7">
                  <c:v>124.00566454239004</c:v>
                </c:pt>
                <c:pt idx="8">
                  <c:v>112.61169966297922</c:v>
                </c:pt>
                <c:pt idx="9">
                  <c:v>278.84124366600952</c:v>
                </c:pt>
                <c:pt idx="10">
                  <c:v>440.59450139828073</c:v>
                </c:pt>
                <c:pt idx="11">
                  <c:v>141.80000000000001</c:v>
                </c:pt>
                <c:pt idx="12">
                  <c:v>324.91945075206002</c:v>
                </c:pt>
                <c:pt idx="13">
                  <c:v>110.31672957572</c:v>
                </c:pt>
                <c:pt idx="14" formatCode="0">
                  <c:v>312.51823392322001</c:v>
                </c:pt>
                <c:pt idx="15" formatCode="0">
                  <c:v>563.3508563185502</c:v>
                </c:pt>
                <c:pt idx="16" formatCode="0">
                  <c:v>652.92137475170944</c:v>
                </c:pt>
                <c:pt idx="17" formatCode="0">
                  <c:v>151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4560"/>
        <c:axId val="304516096"/>
      </c:lineChart>
      <c:catAx>
        <c:axId val="30451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4516096"/>
        <c:crosses val="autoZero"/>
        <c:auto val="1"/>
        <c:lblAlgn val="ctr"/>
        <c:lblOffset val="100"/>
        <c:noMultiLvlLbl val="0"/>
      </c:catAx>
      <c:valAx>
        <c:axId val="30451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4514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'7'!$A$7</c:f>
              <c:strCache>
                <c:ptCount val="1"/>
                <c:pt idx="0">
                  <c:v>Объем выдачи ИПИФ за квартал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'7'!$B$5:$Y$5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  <c:pt idx="23">
                  <c:v>II кв. 2022</c:v>
                </c:pt>
              </c:strCache>
            </c:strRef>
          </c:cat>
          <c:val>
            <c:numRef>
              <c:f>'7'!$B$7:$Y$7</c:f>
              <c:numCache>
                <c:formatCode>0.0</c:formatCode>
                <c:ptCount val="24"/>
                <c:pt idx="0">
                  <c:v>0.118696317</c:v>
                </c:pt>
                <c:pt idx="1">
                  <c:v>5.9265346840000011E-2</c:v>
                </c:pt>
                <c:pt idx="2">
                  <c:v>3.5787458930000016E-2</c:v>
                </c:pt>
                <c:pt idx="3">
                  <c:v>2.8139073999999986E-2</c:v>
                </c:pt>
                <c:pt idx="4">
                  <c:v>0.11513857215999999</c:v>
                </c:pt>
                <c:pt idx="5">
                  <c:v>1.0302650895599998</c:v>
                </c:pt>
                <c:pt idx="6">
                  <c:v>2.7819702500000001E-2</c:v>
                </c:pt>
                <c:pt idx="7">
                  <c:v>0.33876174780000001</c:v>
                </c:pt>
                <c:pt idx="8">
                  <c:v>1.6112191124000002</c:v>
                </c:pt>
                <c:pt idx="9">
                  <c:v>3.6185042562199996</c:v>
                </c:pt>
                <c:pt idx="10">
                  <c:v>1.7719783505699997</c:v>
                </c:pt>
                <c:pt idx="11">
                  <c:v>2.7404963844280754</c:v>
                </c:pt>
                <c:pt idx="12">
                  <c:v>14.501336139820101</c:v>
                </c:pt>
                <c:pt idx="13">
                  <c:v>3.8304832614463495</c:v>
                </c:pt>
                <c:pt idx="14">
                  <c:v>0.806741876961375</c:v>
                </c:pt>
                <c:pt idx="15">
                  <c:v>1.9031012137079999</c:v>
                </c:pt>
                <c:pt idx="16">
                  <c:v>2.8</c:v>
                </c:pt>
                <c:pt idx="17">
                  <c:v>3.1633373004259999</c:v>
                </c:pt>
                <c:pt idx="18">
                  <c:v>6.845296053937</c:v>
                </c:pt>
                <c:pt idx="19">
                  <c:v>7.5498043714390004</c:v>
                </c:pt>
                <c:pt idx="20">
                  <c:v>26.597180678794999</c:v>
                </c:pt>
                <c:pt idx="21">
                  <c:v>9.3982081536859994</c:v>
                </c:pt>
                <c:pt idx="22">
                  <c:v>8.1407454148423302</c:v>
                </c:pt>
                <c:pt idx="23">
                  <c:v>2.4</c:v>
                </c:pt>
              </c:numCache>
            </c:numRef>
          </c:val>
        </c:ser>
        <c:ser>
          <c:idx val="2"/>
          <c:order val="2"/>
          <c:tx>
            <c:strRef>
              <c:f>'7'!$A$8</c:f>
              <c:strCache>
                <c:ptCount val="1"/>
                <c:pt idx="0">
                  <c:v>Объем погашения ИПИФ за квартал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'7'!$B$5:$Y$5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  <c:pt idx="23">
                  <c:v>II кв. 2022</c:v>
                </c:pt>
              </c:strCache>
            </c:strRef>
          </c:cat>
          <c:val>
            <c:numRef>
              <c:f>'7'!$B$8:$Y$8</c:f>
              <c:numCache>
                <c:formatCode>0.0</c:formatCode>
                <c:ptCount val="24"/>
                <c:pt idx="0">
                  <c:v>3.17531243</c:v>
                </c:pt>
                <c:pt idx="1">
                  <c:v>0.21666780615</c:v>
                </c:pt>
                <c:pt idx="2">
                  <c:v>0.24501497756999946</c:v>
                </c:pt>
                <c:pt idx="3">
                  <c:v>1.2608801643200005</c:v>
                </c:pt>
                <c:pt idx="4">
                  <c:v>6.8830267959999997E-2</c:v>
                </c:pt>
                <c:pt idx="5">
                  <c:v>0.15088030271</c:v>
                </c:pt>
                <c:pt idx="6">
                  <c:v>7.3870603909999999E-2</c:v>
                </c:pt>
                <c:pt idx="7">
                  <c:v>6.3795522669999993E-2</c:v>
                </c:pt>
                <c:pt idx="8">
                  <c:v>3.5510754959999995E-2</c:v>
                </c:pt>
                <c:pt idx="9">
                  <c:v>0.80841028820000005</c:v>
                </c:pt>
                <c:pt idx="10">
                  <c:v>0.12319764388999999</c:v>
                </c:pt>
                <c:pt idx="11">
                  <c:v>0.22363853700404998</c:v>
                </c:pt>
                <c:pt idx="12">
                  <c:v>3.0906201299600006E-2</c:v>
                </c:pt>
                <c:pt idx="13">
                  <c:v>0.36063009860212497</c:v>
                </c:pt>
                <c:pt idx="14">
                  <c:v>0.17086097792070001</c:v>
                </c:pt>
                <c:pt idx="15">
                  <c:v>0.57859197781399996</c:v>
                </c:pt>
                <c:pt idx="16">
                  <c:v>1.7</c:v>
                </c:pt>
                <c:pt idx="17">
                  <c:v>0.73617646944399995</c:v>
                </c:pt>
                <c:pt idx="18">
                  <c:v>0.65391768443700005</c:v>
                </c:pt>
                <c:pt idx="19">
                  <c:v>0.20017912848800001</c:v>
                </c:pt>
                <c:pt idx="20">
                  <c:v>4.696225386709</c:v>
                </c:pt>
                <c:pt idx="21">
                  <c:v>11.038564218136999</c:v>
                </c:pt>
                <c:pt idx="22">
                  <c:v>2.82196198637061</c:v>
                </c:pt>
                <c:pt idx="23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4934912"/>
        <c:axId val="304936448"/>
      </c:barChart>
      <c:lineChart>
        <c:grouping val="standard"/>
        <c:varyColors val="0"/>
        <c:ser>
          <c:idx val="0"/>
          <c:order val="0"/>
          <c:tx>
            <c:strRef>
              <c:f>'7'!$A$6</c:f>
              <c:strCache>
                <c:ptCount val="1"/>
                <c:pt idx="0">
                  <c:v>Нетто-приток/отток ИПИФ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'7'!$B$5:$Y$5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  <c:pt idx="23">
                  <c:v>II кв. 2022</c:v>
                </c:pt>
              </c:strCache>
            </c:strRef>
          </c:cat>
          <c:val>
            <c:numRef>
              <c:f>'7'!$B$6:$Y$6</c:f>
              <c:numCache>
                <c:formatCode>0.0</c:formatCode>
                <c:ptCount val="24"/>
                <c:pt idx="0">
                  <c:v>-3.056616113</c:v>
                </c:pt>
                <c:pt idx="1">
                  <c:v>-0.2</c:v>
                </c:pt>
                <c:pt idx="2">
                  <c:v>-0.20922751863999967</c:v>
                </c:pt>
                <c:pt idx="3">
                  <c:v>-1.2327410903200007</c:v>
                </c:pt>
                <c:pt idx="4">
                  <c:v>4.630830419999999E-2</c:v>
                </c:pt>
                <c:pt idx="5">
                  <c:v>0.87938478684999988</c:v>
                </c:pt>
                <c:pt idx="6">
                  <c:v>-4.6050901409999997E-2</c:v>
                </c:pt>
                <c:pt idx="7">
                  <c:v>0.27496622512999991</c:v>
                </c:pt>
                <c:pt idx="8">
                  <c:v>1.5757083574400002</c:v>
                </c:pt>
                <c:pt idx="9">
                  <c:v>2.8100939680199994</c:v>
                </c:pt>
                <c:pt idx="10">
                  <c:v>1.6487807066799998</c:v>
                </c:pt>
                <c:pt idx="11">
                  <c:v>2.5168578474240255</c:v>
                </c:pt>
                <c:pt idx="12">
                  <c:v>14.4704299385205</c:v>
                </c:pt>
                <c:pt idx="13">
                  <c:v>3.4698531628442244</c:v>
                </c:pt>
                <c:pt idx="14">
                  <c:v>0.63588089904067502</c:v>
                </c:pt>
                <c:pt idx="15">
                  <c:v>1.324509235894</c:v>
                </c:pt>
                <c:pt idx="16">
                  <c:v>1.1000000000000001</c:v>
                </c:pt>
                <c:pt idx="17">
                  <c:v>2.4271608309810002</c:v>
                </c:pt>
                <c:pt idx="18">
                  <c:v>6.1913783694999998</c:v>
                </c:pt>
                <c:pt idx="19">
                  <c:v>7.3496252429510003</c:v>
                </c:pt>
                <c:pt idx="20">
                  <c:v>21.900955292086</c:v>
                </c:pt>
                <c:pt idx="21">
                  <c:v>-1.6403560644499999</c:v>
                </c:pt>
                <c:pt idx="22">
                  <c:v>5.0999999999999996</c:v>
                </c:pt>
                <c:pt idx="23">
                  <c:v>1.3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'7'!$A$9</c:f>
              <c:strCache>
                <c:ptCount val="1"/>
                <c:pt idx="0">
                  <c:v>Прирост СЧА ИПИФ за квартал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'7'!$B$5:$Y$5</c:f>
              <c:strCache>
                <c:ptCount val="24"/>
                <c:pt idx="0">
                  <c:v>I кв. 2016</c:v>
                </c:pt>
                <c:pt idx="1">
                  <c:v>II кв. 2016</c:v>
                </c:pt>
                <c:pt idx="2">
                  <c:v>III кв. 2016</c:v>
                </c:pt>
                <c:pt idx="3">
                  <c:v>IV кв. 2016</c:v>
                </c:pt>
                <c:pt idx="4">
                  <c:v>I кв. 2017</c:v>
                </c:pt>
                <c:pt idx="5">
                  <c:v>II кв. 2017</c:v>
                </c:pt>
                <c:pt idx="6">
                  <c:v>III кв. 2017</c:v>
                </c:pt>
                <c:pt idx="7">
                  <c:v>IV кв. 2017</c:v>
                </c:pt>
                <c:pt idx="8">
                  <c:v>I кв. 2018</c:v>
                </c:pt>
                <c:pt idx="9">
                  <c:v>II кв. 2018</c:v>
                </c:pt>
                <c:pt idx="10">
                  <c:v>III кв. 2018</c:v>
                </c:pt>
                <c:pt idx="11">
                  <c:v>IV кв. 2018</c:v>
                </c:pt>
                <c:pt idx="12">
                  <c:v>I кв. 2019</c:v>
                </c:pt>
                <c:pt idx="13">
                  <c:v>II кв. 2019</c:v>
                </c:pt>
                <c:pt idx="14">
                  <c:v>III кв. 2019</c:v>
                </c:pt>
                <c:pt idx="15">
                  <c:v>IV кв. 2019</c:v>
                </c:pt>
                <c:pt idx="16">
                  <c:v>II кв. 2020</c:v>
                </c:pt>
                <c:pt idx="17">
                  <c:v>III кв. 2020</c:v>
                </c:pt>
                <c:pt idx="18">
                  <c:v>IV кв. 2020</c:v>
                </c:pt>
                <c:pt idx="19">
                  <c:v>I кв. 2021</c:v>
                </c:pt>
                <c:pt idx="20">
                  <c:v>II кв. 2021</c:v>
                </c:pt>
                <c:pt idx="21">
                  <c:v>III кв. 2021</c:v>
                </c:pt>
                <c:pt idx="22">
                  <c:v>IV кв. 2021</c:v>
                </c:pt>
                <c:pt idx="23">
                  <c:v>II кв. 2022</c:v>
                </c:pt>
              </c:strCache>
            </c:strRef>
          </c:cat>
          <c:val>
            <c:numRef>
              <c:f>'7'!$B$9:$Y$9</c:f>
              <c:numCache>
                <c:formatCode>0.0</c:formatCode>
                <c:ptCount val="24"/>
                <c:pt idx="1">
                  <c:v>-1.9477005140899963</c:v>
                </c:pt>
                <c:pt idx="2">
                  <c:v>0.12092151648999788</c:v>
                </c:pt>
                <c:pt idx="3">
                  <c:v>-0.69075183311999722</c:v>
                </c:pt>
                <c:pt idx="4">
                  <c:v>0.42924285769999915</c:v>
                </c:pt>
                <c:pt idx="5">
                  <c:v>1.0427241605399939</c:v>
                </c:pt>
                <c:pt idx="6">
                  <c:v>0.44768891647000419</c:v>
                </c:pt>
                <c:pt idx="7">
                  <c:v>0.18604293105000033</c:v>
                </c:pt>
                <c:pt idx="8">
                  <c:v>1.9925698163600027</c:v>
                </c:pt>
                <c:pt idx="9">
                  <c:v>2.9647832152799927</c:v>
                </c:pt>
                <c:pt idx="10">
                  <c:v>4.2435108381985014</c:v>
                </c:pt>
                <c:pt idx="11">
                  <c:v>1.7794508669709794</c:v>
                </c:pt>
                <c:pt idx="12">
                  <c:v>14.199483211432144</c:v>
                </c:pt>
                <c:pt idx="13">
                  <c:v>3.4350299339244592</c:v>
                </c:pt>
                <c:pt idx="14">
                  <c:v>0.7429487508735183</c:v>
                </c:pt>
                <c:pt idx="15">
                  <c:v>-0.64257699656239853</c:v>
                </c:pt>
                <c:pt idx="16">
                  <c:v>1.9</c:v>
                </c:pt>
                <c:pt idx="17">
                  <c:v>5.8136313169092002</c:v>
                </c:pt>
                <c:pt idx="18">
                  <c:v>6.1273624948748999</c:v>
                </c:pt>
                <c:pt idx="19">
                  <c:v>8.0660907367486079</c:v>
                </c:pt>
                <c:pt idx="20">
                  <c:v>19.275961677579208</c:v>
                </c:pt>
                <c:pt idx="21">
                  <c:v>-0.69360639695030113</c:v>
                </c:pt>
                <c:pt idx="22">
                  <c:v>5.5808819096357034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934912"/>
        <c:axId val="304936448"/>
      </c:lineChart>
      <c:catAx>
        <c:axId val="30493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4936448"/>
        <c:crosses val="autoZero"/>
        <c:auto val="1"/>
        <c:lblAlgn val="ctr"/>
        <c:lblOffset val="100"/>
        <c:noMultiLvlLbl val="0"/>
      </c:catAx>
      <c:valAx>
        <c:axId val="304936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493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06909192216895"/>
          <c:y val="3.8407256055018442E-2"/>
          <c:w val="0.8056229563483337"/>
          <c:h val="0.6069444167580317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'8'!$B$6</c:f>
              <c:strCache>
                <c:ptCount val="1"/>
                <c:pt idx="0">
                  <c:v>Russian Bonds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'8'!$C$5:$F$5</c:f>
              <c:numCache>
                <c:formatCode>0</c:formatCode>
                <c:ptCount val="4"/>
                <c:pt idx="0">
                  <c:v>2019</c:v>
                </c:pt>
                <c:pt idx="1">
                  <c:v>2020</c:v>
                </c:pt>
                <c:pt idx="2" formatCode="General">
                  <c:v>2021</c:v>
                </c:pt>
                <c:pt idx="3" formatCode="m/d/yyyy">
                  <c:v>44742</c:v>
                </c:pt>
              </c:numCache>
            </c:numRef>
          </c:cat>
          <c:val>
            <c:numRef>
              <c:f>'8'!$C$6:$F$6</c:f>
              <c:numCache>
                <c:formatCode>0%</c:formatCode>
                <c:ptCount val="4"/>
                <c:pt idx="0">
                  <c:v>0.48407643312101911</c:v>
                </c:pt>
                <c:pt idx="1">
                  <c:v>0.42819148936170215</c:v>
                </c:pt>
                <c:pt idx="2">
                  <c:v>0.23056537102473498</c:v>
                </c:pt>
                <c:pt idx="3">
                  <c:v>0.30859375000000006</c:v>
                </c:pt>
              </c:numCache>
            </c:numRef>
          </c:val>
        </c:ser>
        <c:ser>
          <c:idx val="1"/>
          <c:order val="1"/>
          <c:tx>
            <c:strRef>
              <c:f>'8'!$B$7</c:f>
              <c:strCache>
                <c:ptCount val="1"/>
                <c:pt idx="0">
                  <c:v>Russian Stocks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'8'!$C$5:$F$5</c:f>
              <c:numCache>
                <c:formatCode>0</c:formatCode>
                <c:ptCount val="4"/>
                <c:pt idx="0">
                  <c:v>2019</c:v>
                </c:pt>
                <c:pt idx="1">
                  <c:v>2020</c:v>
                </c:pt>
                <c:pt idx="2" formatCode="General">
                  <c:v>2021</c:v>
                </c:pt>
                <c:pt idx="3" formatCode="m/d/yyyy">
                  <c:v>44742</c:v>
                </c:pt>
              </c:numCache>
            </c:numRef>
          </c:cat>
          <c:val>
            <c:numRef>
              <c:f>'8'!$C$7:$F$7</c:f>
              <c:numCache>
                <c:formatCode>0%</c:formatCode>
                <c:ptCount val="4"/>
                <c:pt idx="0">
                  <c:v>0.20382165605095542</c:v>
                </c:pt>
                <c:pt idx="1">
                  <c:v>0.18882978723404256</c:v>
                </c:pt>
                <c:pt idx="2">
                  <c:v>0.25265017667844525</c:v>
                </c:pt>
                <c:pt idx="3">
                  <c:v>0.23567708333333337</c:v>
                </c:pt>
              </c:numCache>
            </c:numRef>
          </c:val>
        </c:ser>
        <c:ser>
          <c:idx val="2"/>
          <c:order val="2"/>
          <c:tx>
            <c:strRef>
              <c:f>'8'!$B$8</c:f>
              <c:strCache>
                <c:ptCount val="1"/>
                <c:pt idx="0">
                  <c:v>Balanced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'8'!$C$5:$F$5</c:f>
              <c:numCache>
                <c:formatCode>0</c:formatCode>
                <c:ptCount val="4"/>
                <c:pt idx="0">
                  <c:v>2019</c:v>
                </c:pt>
                <c:pt idx="1">
                  <c:v>2020</c:v>
                </c:pt>
                <c:pt idx="2" formatCode="General">
                  <c:v>2021</c:v>
                </c:pt>
                <c:pt idx="3" formatCode="m/d/yyyy">
                  <c:v>44742</c:v>
                </c:pt>
              </c:numCache>
            </c:numRef>
          </c:cat>
          <c:val>
            <c:numRef>
              <c:f>'8'!$C$8:$F$8</c:f>
              <c:numCache>
                <c:formatCode>0%</c:formatCode>
                <c:ptCount val="4"/>
                <c:pt idx="0">
                  <c:v>0.13800424628450106</c:v>
                </c:pt>
                <c:pt idx="1">
                  <c:v>0.11170212765957446</c:v>
                </c:pt>
                <c:pt idx="2">
                  <c:v>0.20671378091872791</c:v>
                </c:pt>
                <c:pt idx="3">
                  <c:v>0.20182291666666671</c:v>
                </c:pt>
              </c:numCache>
            </c:numRef>
          </c:val>
        </c:ser>
        <c:ser>
          <c:idx val="3"/>
          <c:order val="3"/>
          <c:tx>
            <c:strRef>
              <c:f>'8'!$B$9</c:f>
              <c:strCache>
                <c:ptCount val="1"/>
                <c:pt idx="0">
                  <c:v>Foreign Stocks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'8'!$C$5:$F$5</c:f>
              <c:numCache>
                <c:formatCode>0</c:formatCode>
                <c:ptCount val="4"/>
                <c:pt idx="0">
                  <c:v>2019</c:v>
                </c:pt>
                <c:pt idx="1">
                  <c:v>2020</c:v>
                </c:pt>
                <c:pt idx="2" formatCode="General">
                  <c:v>2021</c:v>
                </c:pt>
                <c:pt idx="3" formatCode="m/d/yyyy">
                  <c:v>44742</c:v>
                </c:pt>
              </c:numCache>
            </c:numRef>
          </c:cat>
          <c:val>
            <c:numRef>
              <c:f>'8'!$C$9:$F$9</c:f>
              <c:numCache>
                <c:formatCode>0%</c:formatCode>
                <c:ptCount val="4"/>
                <c:pt idx="0">
                  <c:v>4.2462845010615709E-2</c:v>
                </c:pt>
                <c:pt idx="1">
                  <c:v>7.7127659574468085E-2</c:v>
                </c:pt>
                <c:pt idx="2">
                  <c:v>0.1166077738515901</c:v>
                </c:pt>
                <c:pt idx="3">
                  <c:v>8.3333333333333343E-2</c:v>
                </c:pt>
              </c:numCache>
            </c:numRef>
          </c:val>
        </c:ser>
        <c:ser>
          <c:idx val="4"/>
          <c:order val="4"/>
          <c:tx>
            <c:strRef>
              <c:f>'8'!$B$10</c:f>
              <c:strCache>
                <c:ptCount val="1"/>
                <c:pt idx="0">
                  <c:v>Foreign Bonds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'8'!$C$5:$F$5</c:f>
              <c:numCache>
                <c:formatCode>0</c:formatCode>
                <c:ptCount val="4"/>
                <c:pt idx="0">
                  <c:v>2019</c:v>
                </c:pt>
                <c:pt idx="1">
                  <c:v>2020</c:v>
                </c:pt>
                <c:pt idx="2" formatCode="General">
                  <c:v>2021</c:v>
                </c:pt>
                <c:pt idx="3" formatCode="m/d/yyyy">
                  <c:v>44742</c:v>
                </c:pt>
              </c:numCache>
            </c:numRef>
          </c:cat>
          <c:val>
            <c:numRef>
              <c:f>'8'!$C$10:$F$10</c:f>
              <c:numCache>
                <c:formatCode>0%</c:formatCode>
                <c:ptCount val="4"/>
                <c:pt idx="0">
                  <c:v>8.9171974522292988E-2</c:v>
                </c:pt>
                <c:pt idx="1">
                  <c:v>0.10904255319148937</c:v>
                </c:pt>
                <c:pt idx="2">
                  <c:v>7.5971731448763249E-2</c:v>
                </c:pt>
                <c:pt idx="3">
                  <c:v>6.6406250000000014E-2</c:v>
                </c:pt>
              </c:numCache>
            </c:numRef>
          </c:val>
        </c:ser>
        <c:ser>
          <c:idx val="5"/>
          <c:order val="5"/>
          <c:tx>
            <c:strRef>
              <c:f>'8'!$B$11</c:f>
              <c:strCache>
                <c:ptCount val="1"/>
                <c:pt idx="0">
                  <c:v>ETF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'8'!$C$5:$F$5</c:f>
              <c:numCache>
                <c:formatCode>0</c:formatCode>
                <c:ptCount val="4"/>
                <c:pt idx="0">
                  <c:v>2019</c:v>
                </c:pt>
                <c:pt idx="1">
                  <c:v>2020</c:v>
                </c:pt>
                <c:pt idx="2" formatCode="General">
                  <c:v>2021</c:v>
                </c:pt>
                <c:pt idx="3" formatCode="m/d/yyyy">
                  <c:v>44742</c:v>
                </c:pt>
              </c:numCache>
            </c:numRef>
          </c:cat>
          <c:val>
            <c:numRef>
              <c:f>'8'!$C$11:$F$11</c:f>
              <c:numCache>
                <c:formatCode>0%</c:formatCode>
                <c:ptCount val="4"/>
                <c:pt idx="0">
                  <c:v>2.7600849256900213E-2</c:v>
                </c:pt>
                <c:pt idx="1">
                  <c:v>5.3191489361702128E-2</c:v>
                </c:pt>
                <c:pt idx="2">
                  <c:v>7.2438162544169613E-2</c:v>
                </c:pt>
                <c:pt idx="3">
                  <c:v>6.1197916666666671E-2</c:v>
                </c:pt>
              </c:numCache>
            </c:numRef>
          </c:val>
        </c:ser>
        <c:ser>
          <c:idx val="6"/>
          <c:order val="6"/>
          <c:tx>
            <c:strRef>
              <c:f>'8'!$B$12</c:f>
              <c:strCache>
                <c:ptCount val="1"/>
                <c:pt idx="0">
                  <c:v>Market Mix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'8'!$C$5:$F$5</c:f>
              <c:numCache>
                <c:formatCode>0</c:formatCode>
                <c:ptCount val="4"/>
                <c:pt idx="0">
                  <c:v>2019</c:v>
                </c:pt>
                <c:pt idx="1">
                  <c:v>2020</c:v>
                </c:pt>
                <c:pt idx="2" formatCode="General">
                  <c:v>2021</c:v>
                </c:pt>
                <c:pt idx="3" formatCode="m/d/yyyy">
                  <c:v>44742</c:v>
                </c:pt>
              </c:numCache>
            </c:numRef>
          </c:cat>
          <c:val>
            <c:numRef>
              <c:f>'8'!$C$12:$F$12</c:f>
              <c:numCache>
                <c:formatCode>0%</c:formatCode>
                <c:ptCount val="4"/>
                <c:pt idx="0">
                  <c:v>1.4861995753715499E-2</c:v>
                </c:pt>
                <c:pt idx="1">
                  <c:v>2.9255319148936171E-2</c:v>
                </c:pt>
                <c:pt idx="2">
                  <c:v>3.9752650176678443E-2</c:v>
                </c:pt>
                <c:pt idx="3">
                  <c:v>4.2968750000000007E-2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4602496"/>
        <c:axId val="304678016"/>
      </c:barChart>
      <c:catAx>
        <c:axId val="3046024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304678016"/>
        <c:crosses val="autoZero"/>
        <c:auto val="1"/>
        <c:lblAlgn val="ctr"/>
        <c:lblOffset val="100"/>
        <c:noMultiLvlLbl val="1"/>
      </c:catAx>
      <c:valAx>
        <c:axId val="30467801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304602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76442340277085619"/>
          <c:w val="0.9711968406183864"/>
          <c:h val="0.2306468653443635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'9'!$B$6</c:f>
              <c:strCache>
                <c:ptCount val="1"/>
                <c:pt idx="0">
                  <c:v>Russian Stocks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'9'!$C$5:$G$5</c:f>
              <c:strCache>
                <c:ptCount val="5"/>
                <c:pt idx="0">
                  <c:v>1ПГ2020</c:v>
                </c:pt>
                <c:pt idx="1">
                  <c:v>2ПГ2020</c:v>
                </c:pt>
                <c:pt idx="2">
                  <c:v>1ПГ2021</c:v>
                </c:pt>
                <c:pt idx="3">
                  <c:v>2ПГ2022</c:v>
                </c:pt>
                <c:pt idx="4">
                  <c:v>1ПГ2022</c:v>
                </c:pt>
              </c:strCache>
            </c:strRef>
          </c:cat>
          <c:val>
            <c:numRef>
              <c:f>'9'!$C$6:$G$6</c:f>
              <c:numCache>
                <c:formatCode>0%</c:formatCode>
                <c:ptCount val="5"/>
                <c:pt idx="0">
                  <c:v>0.28343558282208592</c:v>
                </c:pt>
                <c:pt idx="1">
                  <c:v>7.575757575757576E-2</c:v>
                </c:pt>
                <c:pt idx="2">
                  <c:v>0.3392857142857143</c:v>
                </c:pt>
                <c:pt idx="3">
                  <c:v>0.48872180451127817</c:v>
                </c:pt>
                <c:pt idx="4">
                  <c:v>0.625</c:v>
                </c:pt>
              </c:numCache>
            </c:numRef>
          </c:val>
        </c:ser>
        <c:ser>
          <c:idx val="1"/>
          <c:order val="1"/>
          <c:tx>
            <c:strRef>
              <c:f>'9'!$B$7</c:f>
              <c:strCache>
                <c:ptCount val="1"/>
                <c:pt idx="0">
                  <c:v>Foreign Bonds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'9'!$C$5:$G$5</c:f>
              <c:strCache>
                <c:ptCount val="5"/>
                <c:pt idx="0">
                  <c:v>1ПГ2020</c:v>
                </c:pt>
                <c:pt idx="1">
                  <c:v>2ПГ2020</c:v>
                </c:pt>
                <c:pt idx="2">
                  <c:v>1ПГ2021</c:v>
                </c:pt>
                <c:pt idx="3">
                  <c:v>2ПГ2022</c:v>
                </c:pt>
                <c:pt idx="4">
                  <c:v>1ПГ2022</c:v>
                </c:pt>
              </c:strCache>
            </c:strRef>
          </c:cat>
          <c:val>
            <c:numRef>
              <c:f>'9'!$C$7:$G$7</c:f>
              <c:numCache>
                <c:formatCode>0%</c:formatCode>
                <c:ptCount val="5"/>
                <c:pt idx="0">
                  <c:v>9.0797546012269942E-2</c:v>
                </c:pt>
                <c:pt idx="1">
                  <c:v>0.12878787878787878</c:v>
                </c:pt>
                <c:pt idx="2">
                  <c:v>5.9523809523809521E-2</c:v>
                </c:pt>
                <c:pt idx="3">
                  <c:v>-7.5187969924812026E-3</c:v>
                </c:pt>
                <c:pt idx="4">
                  <c:v>0.35714285714285715</c:v>
                </c:pt>
              </c:numCache>
            </c:numRef>
          </c:val>
        </c:ser>
        <c:ser>
          <c:idx val="2"/>
          <c:order val="2"/>
          <c:tx>
            <c:strRef>
              <c:f>'9'!$B$8</c:f>
              <c:strCache>
                <c:ptCount val="1"/>
                <c:pt idx="0">
                  <c:v>ETF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'9'!$C$5:$G$5</c:f>
              <c:strCache>
                <c:ptCount val="5"/>
                <c:pt idx="0">
                  <c:v>1ПГ2020</c:v>
                </c:pt>
                <c:pt idx="1">
                  <c:v>2ПГ2020</c:v>
                </c:pt>
                <c:pt idx="2">
                  <c:v>1ПГ2021</c:v>
                </c:pt>
                <c:pt idx="3">
                  <c:v>2ПГ2022</c:v>
                </c:pt>
                <c:pt idx="4">
                  <c:v>1ПГ2022</c:v>
                </c:pt>
              </c:strCache>
            </c:strRef>
          </c:cat>
          <c:val>
            <c:numRef>
              <c:f>'9'!$C$8:$G$8</c:f>
              <c:numCache>
                <c:formatCode>0%</c:formatCode>
                <c:ptCount val="5"/>
                <c:pt idx="0">
                  <c:v>6.1349693251533742E-2</c:v>
                </c:pt>
                <c:pt idx="1">
                  <c:v>0.12121212121212122</c:v>
                </c:pt>
                <c:pt idx="2">
                  <c:v>0.14285714285714285</c:v>
                </c:pt>
                <c:pt idx="3">
                  <c:v>0.11278195488721804</c:v>
                </c:pt>
                <c:pt idx="4">
                  <c:v>8.9285714285714288E-2</c:v>
                </c:pt>
              </c:numCache>
            </c:numRef>
          </c:val>
        </c:ser>
        <c:ser>
          <c:idx val="3"/>
          <c:order val="3"/>
          <c:tx>
            <c:strRef>
              <c:f>'9'!$B$9</c:f>
              <c:strCache>
                <c:ptCount val="1"/>
                <c:pt idx="0">
                  <c:v>Foreign Stocks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'9'!$C$5:$G$5</c:f>
              <c:strCache>
                <c:ptCount val="5"/>
                <c:pt idx="0">
                  <c:v>1ПГ2020</c:v>
                </c:pt>
                <c:pt idx="1">
                  <c:v>2ПГ2020</c:v>
                </c:pt>
                <c:pt idx="2">
                  <c:v>1ПГ2021</c:v>
                </c:pt>
                <c:pt idx="3">
                  <c:v>2ПГ2022</c:v>
                </c:pt>
                <c:pt idx="4">
                  <c:v>1ПГ2022</c:v>
                </c:pt>
              </c:strCache>
            </c:strRef>
          </c:cat>
          <c:val>
            <c:numRef>
              <c:f>'9'!$C$9:$G$9</c:f>
              <c:numCache>
                <c:formatCode>0%</c:formatCode>
                <c:ptCount val="5"/>
                <c:pt idx="0">
                  <c:v>3.0674846625766871E-2</c:v>
                </c:pt>
                <c:pt idx="1">
                  <c:v>0.14393939393939395</c:v>
                </c:pt>
                <c:pt idx="2">
                  <c:v>0.19642857142857142</c:v>
                </c:pt>
                <c:pt idx="3">
                  <c:v>0.15037593984962405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'9'!$B$10</c:f>
              <c:strCache>
                <c:ptCount val="1"/>
                <c:pt idx="0">
                  <c:v>Market Mix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'9'!$C$5:$G$5</c:f>
              <c:strCache>
                <c:ptCount val="5"/>
                <c:pt idx="0">
                  <c:v>1ПГ2020</c:v>
                </c:pt>
                <c:pt idx="1">
                  <c:v>2ПГ2020</c:v>
                </c:pt>
                <c:pt idx="2">
                  <c:v>1ПГ2021</c:v>
                </c:pt>
                <c:pt idx="3">
                  <c:v>2ПГ2022</c:v>
                </c:pt>
                <c:pt idx="4">
                  <c:v>1ПГ2022</c:v>
                </c:pt>
              </c:strCache>
            </c:strRef>
          </c:cat>
          <c:val>
            <c:numRef>
              <c:f>'9'!$C$10:$G$10</c:f>
              <c:numCache>
                <c:formatCode>0%</c:formatCode>
                <c:ptCount val="5"/>
                <c:pt idx="0">
                  <c:v>5.3987730061349701E-2</c:v>
                </c:pt>
                <c:pt idx="1">
                  <c:v>9.0909090909090912E-2</c:v>
                </c:pt>
                <c:pt idx="2">
                  <c:v>8.3333333333333329E-2</c:v>
                </c:pt>
                <c:pt idx="3">
                  <c:v>0.15037593984962405</c:v>
                </c:pt>
                <c:pt idx="4">
                  <c:v>-0.20535714285714285</c:v>
                </c:pt>
              </c:numCache>
            </c:numRef>
          </c:val>
        </c:ser>
        <c:ser>
          <c:idx val="5"/>
          <c:order val="5"/>
          <c:tx>
            <c:strRef>
              <c:f>'9'!$B$11</c:f>
              <c:strCache>
                <c:ptCount val="1"/>
                <c:pt idx="0">
                  <c:v>Balanced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'9'!$C$5:$G$5</c:f>
              <c:strCache>
                <c:ptCount val="5"/>
                <c:pt idx="0">
                  <c:v>1ПГ2020</c:v>
                </c:pt>
                <c:pt idx="1">
                  <c:v>2ПГ2020</c:v>
                </c:pt>
                <c:pt idx="2">
                  <c:v>1ПГ2021</c:v>
                </c:pt>
                <c:pt idx="3">
                  <c:v>2ПГ2022</c:v>
                </c:pt>
                <c:pt idx="4">
                  <c:v>1ПГ2022</c:v>
                </c:pt>
              </c:strCache>
            </c:strRef>
          </c:cat>
          <c:val>
            <c:numRef>
              <c:f>'9'!$C$11:$G$11</c:f>
              <c:numCache>
                <c:formatCode>0%</c:formatCode>
                <c:ptCount val="5"/>
                <c:pt idx="0">
                  <c:v>0.20122699386503065</c:v>
                </c:pt>
                <c:pt idx="1">
                  <c:v>7.575757575757576E-3</c:v>
                </c:pt>
                <c:pt idx="2">
                  <c:v>0.24404761904761904</c:v>
                </c:pt>
                <c:pt idx="3">
                  <c:v>0.45864661654135336</c:v>
                </c:pt>
                <c:pt idx="4">
                  <c:v>-0.7142857142857143</c:v>
                </c:pt>
              </c:numCache>
            </c:numRef>
          </c:val>
        </c:ser>
        <c:ser>
          <c:idx val="6"/>
          <c:order val="6"/>
          <c:tx>
            <c:strRef>
              <c:f>'9'!$B$12</c:f>
              <c:strCache>
                <c:ptCount val="1"/>
                <c:pt idx="0">
                  <c:v>Russian Bonds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'9'!$C$5:$G$5</c:f>
              <c:strCache>
                <c:ptCount val="5"/>
                <c:pt idx="0">
                  <c:v>1ПГ2020</c:v>
                </c:pt>
                <c:pt idx="1">
                  <c:v>2ПГ2020</c:v>
                </c:pt>
                <c:pt idx="2">
                  <c:v>1ПГ2021</c:v>
                </c:pt>
                <c:pt idx="3">
                  <c:v>2ПГ2022</c:v>
                </c:pt>
                <c:pt idx="4">
                  <c:v>1ПГ2022</c:v>
                </c:pt>
              </c:strCache>
            </c:strRef>
          </c:cat>
          <c:val>
            <c:numRef>
              <c:f>'9'!$C$12:$G$12</c:f>
              <c:numCache>
                <c:formatCode>0%</c:formatCode>
                <c:ptCount val="5"/>
                <c:pt idx="0">
                  <c:v>0.27852760736196319</c:v>
                </c:pt>
                <c:pt idx="1">
                  <c:v>0.43181818181818182</c:v>
                </c:pt>
                <c:pt idx="2">
                  <c:v>-6.5476190476190479E-2</c:v>
                </c:pt>
                <c:pt idx="3">
                  <c:v>-0.35338345864661652</c:v>
                </c:pt>
                <c:pt idx="4">
                  <c:v>-1.1517857142857144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4763648"/>
        <c:axId val="304765184"/>
      </c:barChart>
      <c:catAx>
        <c:axId val="30476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4765184"/>
        <c:crosses val="autoZero"/>
        <c:auto val="1"/>
        <c:lblAlgn val="ctr"/>
        <c:lblOffset val="100"/>
        <c:noMultiLvlLbl val="0"/>
      </c:catAx>
      <c:valAx>
        <c:axId val="304765184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304763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2855</xdr:colOff>
      <xdr:row>14</xdr:row>
      <xdr:rowOff>67432</xdr:rowOff>
    </xdr:from>
    <xdr:to>
      <xdr:col>16</xdr:col>
      <xdr:colOff>165652</xdr:colOff>
      <xdr:row>28</xdr:row>
      <xdr:rowOff>144774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314325</xdr:colOff>
      <xdr:row>4</xdr:row>
      <xdr:rowOff>38099</xdr:rowOff>
    </xdr:from>
    <xdr:to>
      <xdr:col>17</xdr:col>
      <xdr:colOff>9525</xdr:colOff>
      <xdr:row>18</xdr:row>
      <xdr:rowOff>85724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200024</xdr:colOff>
      <xdr:row>12</xdr:row>
      <xdr:rowOff>42862</xdr:rowOff>
    </xdr:from>
    <xdr:to>
      <xdr:col>11</xdr:col>
      <xdr:colOff>85724</xdr:colOff>
      <xdr:row>26</xdr:row>
      <xdr:rowOff>119062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200024</xdr:colOff>
      <xdr:row>12</xdr:row>
      <xdr:rowOff>42862</xdr:rowOff>
    </xdr:from>
    <xdr:to>
      <xdr:col>12</xdr:col>
      <xdr:colOff>85724</xdr:colOff>
      <xdr:row>26</xdr:row>
      <xdr:rowOff>119062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504091</xdr:colOff>
      <xdr:row>75</xdr:row>
      <xdr:rowOff>83160</xdr:rowOff>
    </xdr:from>
    <xdr:to>
      <xdr:col>21</xdr:col>
      <xdr:colOff>517280</xdr:colOff>
      <xdr:row>89</xdr:row>
      <xdr:rowOff>159360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630114</xdr:colOff>
      <xdr:row>0</xdr:row>
      <xdr:rowOff>0</xdr:rowOff>
    </xdr:from>
    <xdr:to>
      <xdr:col>23</xdr:col>
      <xdr:colOff>659423</xdr:colOff>
      <xdr:row>24</xdr:row>
      <xdr:rowOff>102578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17</xdr:col>
      <xdr:colOff>615461</xdr:colOff>
      <xdr:row>23</xdr:row>
      <xdr:rowOff>109904</xdr:rowOff>
    </xdr:from>
    <xdr:ext cx="577338" cy="264560"/>
    <xdr:sp macro="" textlink="">
      <xdr:nvSpPr>
        <xdr:cNvPr id="4" name="TextBox 3"/>
        <xdr:cNvSpPr txBox="1"/>
      </xdr:nvSpPr>
      <xdr:spPr>
        <a:xfrm>
          <a:off x="14283836" y="4491404"/>
          <a:ext cx="57733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ru-RU" sz="1100"/>
            <a:t>8193,3</a:t>
          </a:r>
        </a:p>
      </xdr:txBody>
    </xdr:sp>
    <xdr:clientData/>
  </xdr:oneCellAnchor>
  <xdr:twoCellAnchor>
    <xdr:from>
      <xdr:col>24</xdr:col>
      <xdr:colOff>593480</xdr:colOff>
      <xdr:row>9</xdr:row>
      <xdr:rowOff>124559</xdr:rowOff>
    </xdr:from>
    <xdr:to>
      <xdr:col>30</xdr:col>
      <xdr:colOff>600808</xdr:colOff>
      <xdr:row>27</xdr:row>
      <xdr:rowOff>56417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227135</xdr:colOff>
      <xdr:row>28</xdr:row>
      <xdr:rowOff>117231</xdr:rowOff>
    </xdr:from>
    <xdr:to>
      <xdr:col>22</xdr:col>
      <xdr:colOff>498231</xdr:colOff>
      <xdr:row>49</xdr:row>
      <xdr:rowOff>139212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500817</xdr:colOff>
      <xdr:row>32</xdr:row>
      <xdr:rowOff>105205</xdr:rowOff>
    </xdr:from>
    <xdr:to>
      <xdr:col>16</xdr:col>
      <xdr:colOff>302990</xdr:colOff>
      <xdr:row>46</xdr:row>
      <xdr:rowOff>181405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415911</xdr:colOff>
      <xdr:row>35</xdr:row>
      <xdr:rowOff>77622</xdr:rowOff>
    </xdr:from>
    <xdr:to>
      <xdr:col>25</xdr:col>
      <xdr:colOff>269373</xdr:colOff>
      <xdr:row>49</xdr:row>
      <xdr:rowOff>153822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0.04647</cdr:x>
      <cdr:y>0.01255</cdr:y>
    </cdr:from>
    <cdr:to>
      <cdr:x>0.24647</cdr:x>
      <cdr:y>0.34589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2481" y="344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ru-RU" sz="1100"/>
            <a:t>Темпы</a:t>
          </a:r>
          <a:r>
            <a:rPr lang="ru-RU" sz="1100" baseline="0"/>
            <a:t> прироста объемов депозитов физических лиц и СЧА ОПИФов</a:t>
          </a:r>
          <a:endParaRPr lang="ru-RU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194640</xdr:colOff>
      <xdr:row>13</xdr:row>
      <xdr:rowOff>48865</xdr:rowOff>
    </xdr:from>
    <xdr:to>
      <xdr:col>14</xdr:col>
      <xdr:colOff>0</xdr:colOff>
      <xdr:row>26</xdr:row>
      <xdr:rowOff>41413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438979</xdr:colOff>
      <xdr:row>17</xdr:row>
      <xdr:rowOff>181388</xdr:rowOff>
    </xdr:from>
    <xdr:to>
      <xdr:col>17</xdr:col>
      <xdr:colOff>107674</xdr:colOff>
      <xdr:row>32</xdr:row>
      <xdr:rowOff>67088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298174</xdr:colOff>
      <xdr:row>11</xdr:row>
      <xdr:rowOff>32302</xdr:rowOff>
    </xdr:from>
    <xdr:to>
      <xdr:col>11</xdr:col>
      <xdr:colOff>505239</xdr:colOff>
      <xdr:row>25</xdr:row>
      <xdr:rowOff>108502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214106</xdr:colOff>
      <xdr:row>70</xdr:row>
      <xdr:rowOff>103532</xdr:rowOff>
    </xdr:from>
    <xdr:to>
      <xdr:col>11</xdr:col>
      <xdr:colOff>538370</xdr:colOff>
      <xdr:row>86</xdr:row>
      <xdr:rowOff>149086</xdr:rowOff>
    </xdr:to>
    <xdr:graphicFrame macro="">
      <xdr:nvGraphicFramePr>
        <xdr:cNvPr id="12" name="Диаграмма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61705</xdr:colOff>
      <xdr:row>31</xdr:row>
      <xdr:rowOff>84482</xdr:rowOff>
    </xdr:from>
    <xdr:to>
      <xdr:col>9</xdr:col>
      <xdr:colOff>473488</xdr:colOff>
      <xdr:row>41</xdr:row>
      <xdr:rowOff>159482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477907</xdr:colOff>
      <xdr:row>20</xdr:row>
      <xdr:rowOff>25673</xdr:rowOff>
    </xdr:from>
    <xdr:to>
      <xdr:col>9</xdr:col>
      <xdr:colOff>756202</xdr:colOff>
      <xdr:row>37</xdr:row>
      <xdr:rowOff>175589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9</xdr:row>
      <xdr:rowOff>0</xdr:rowOff>
    </xdr:from>
    <xdr:to>
      <xdr:col>9</xdr:col>
      <xdr:colOff>441600</xdr:colOff>
      <xdr:row>19</xdr:row>
      <xdr:rowOff>75000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46</xdr:row>
      <xdr:rowOff>80962</xdr:rowOff>
    </xdr:from>
    <xdr:to>
      <xdr:col>7</xdr:col>
      <xdr:colOff>342900</xdr:colOff>
      <xdr:row>63</xdr:row>
      <xdr:rowOff>71437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314325</xdr:colOff>
      <xdr:row>65</xdr:row>
      <xdr:rowOff>0</xdr:rowOff>
    </xdr:from>
    <xdr:to>
      <xdr:col>7</xdr:col>
      <xdr:colOff>276225</xdr:colOff>
      <xdr:row>81</xdr:row>
      <xdr:rowOff>152400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83</xdr:row>
      <xdr:rowOff>0</xdr:rowOff>
    </xdr:from>
    <xdr:to>
      <xdr:col>5</xdr:col>
      <xdr:colOff>400050</xdr:colOff>
      <xdr:row>99</xdr:row>
      <xdr:rowOff>152400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942975</xdr:colOff>
      <xdr:row>20</xdr:row>
      <xdr:rowOff>80962</xdr:rowOff>
    </xdr:from>
    <xdr:to>
      <xdr:col>12</xdr:col>
      <xdr:colOff>419100</xdr:colOff>
      <xdr:row>36</xdr:row>
      <xdr:rowOff>90487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432954</xdr:colOff>
      <xdr:row>13</xdr:row>
      <xdr:rowOff>865</xdr:rowOff>
    </xdr:from>
    <xdr:to>
      <xdr:col>11</xdr:col>
      <xdr:colOff>822614</xdr:colOff>
      <xdr:row>27</xdr:row>
      <xdr:rowOff>77065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8282</xdr:colOff>
      <xdr:row>10</xdr:row>
      <xdr:rowOff>40584</xdr:rowOff>
    </xdr:from>
    <xdr:to>
      <xdr:col>16</xdr:col>
      <xdr:colOff>265042</xdr:colOff>
      <xdr:row>24</xdr:row>
      <xdr:rowOff>116784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351843</xdr:colOff>
      <xdr:row>26</xdr:row>
      <xdr:rowOff>83656</xdr:rowOff>
    </xdr:from>
    <xdr:to>
      <xdr:col>14</xdr:col>
      <xdr:colOff>762000</xdr:colOff>
      <xdr:row>40</xdr:row>
      <xdr:rowOff>127650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173935</xdr:colOff>
      <xdr:row>20</xdr:row>
      <xdr:rowOff>181388</xdr:rowOff>
    </xdr:from>
    <xdr:to>
      <xdr:col>16</xdr:col>
      <xdr:colOff>828261</xdr:colOff>
      <xdr:row>35</xdr:row>
      <xdr:rowOff>91108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467966</xdr:colOff>
      <xdr:row>10</xdr:row>
      <xdr:rowOff>98563</xdr:rowOff>
    </xdr:from>
    <xdr:to>
      <xdr:col>12</xdr:col>
      <xdr:colOff>496957</xdr:colOff>
      <xdr:row>24</xdr:row>
      <xdr:rowOff>132522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342899</xdr:colOff>
      <xdr:row>4</xdr:row>
      <xdr:rowOff>76200</xdr:rowOff>
    </xdr:from>
    <xdr:to>
      <xdr:col>19</xdr:col>
      <xdr:colOff>581024</xdr:colOff>
      <xdr:row>20</xdr:row>
      <xdr:rowOff>38100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285749</xdr:colOff>
      <xdr:row>2</xdr:row>
      <xdr:rowOff>95250</xdr:rowOff>
    </xdr:from>
    <xdr:to>
      <xdr:col>18</xdr:col>
      <xdr:colOff>571499</xdr:colOff>
      <xdr:row>21</xdr:row>
      <xdr:rowOff>161925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!&#1042;&#1099;&#1075;&#1088;&#1091;&#1079;&#1082;&#1080;\&#1048;&#1084;&#1087;&#1086;&#1088;&#1090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ивы"/>
      <sheetName val="РА"/>
      <sheetName val="ПЕР"/>
      <sheetName val="РА+"/>
      <sheetName val="ПЕР+"/>
      <sheetName val="11"/>
      <sheetName val="11_2014"/>
      <sheetName val="ПЕР313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CBRF new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3E96DB"/>
    </a:accent2>
    <a:accent3>
      <a:srgbClr val="A89B9D"/>
    </a:accent3>
    <a:accent4>
      <a:srgbClr val="8586C6"/>
    </a:accent4>
    <a:accent5>
      <a:srgbClr val="B46E28"/>
    </a:accent5>
    <a:accent6>
      <a:srgbClr val="AB5253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CBRF new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3E96DB"/>
    </a:accent2>
    <a:accent3>
      <a:srgbClr val="A89B9D"/>
    </a:accent3>
    <a:accent4>
      <a:srgbClr val="8586C6"/>
    </a:accent4>
    <a:accent5>
      <a:srgbClr val="B46E28"/>
    </a:accent5>
    <a:accent6>
      <a:srgbClr val="AB5253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CBRF">
    <a:dk1>
      <a:srgbClr val="8A8A8D"/>
    </a:dk1>
    <a:lt1>
      <a:sysClr val="window" lastClr="FFFFFF"/>
    </a:lt1>
    <a:dk2>
      <a:srgbClr val="B9B8BA"/>
    </a:dk2>
    <a:lt2>
      <a:srgbClr val="E7E6E6"/>
    </a:lt2>
    <a:accent1>
      <a:srgbClr val="77777A"/>
    </a:accent1>
    <a:accent2>
      <a:srgbClr val="89B4E0"/>
    </a:accent2>
    <a:accent3>
      <a:srgbClr val="ABA9D4"/>
    </a:accent3>
    <a:accent4>
      <a:srgbClr val="C3B8BA"/>
    </a:accent4>
    <a:accent5>
      <a:srgbClr val="C88683"/>
    </a:accent5>
    <a:accent6>
      <a:srgbClr val="D3B599"/>
    </a:accent6>
    <a:hlink>
      <a:srgbClr val="77777A"/>
    </a:hlink>
    <a:folHlink>
      <a:srgbClr val="77777A"/>
    </a:folHlink>
  </a:clrScheme>
  <a:fontScheme name="Office Classic 2">
    <a:maj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ajorFont>
    <a:minorFont>
      <a:latin typeface="Arial"/>
      <a:ea typeface=""/>
      <a:cs typeface=""/>
      <a:font script="Jpan" typeface="ＭＳ Ｐゴシック"/>
      <a:font script="Hang" typeface="굴림"/>
      <a:font script="Hans" typeface="黑体"/>
      <a:font script="Hant" typeface="微軟正黑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hyperlink" Target="http://www.gks.ru/wps/wcm/connect/rosstat_main/rosstat/ru/statistics/tariffs/" TargetMode="External"/><Relationship Id="rId1" Type="http://schemas.openxmlformats.org/officeDocument/2006/relationships/hyperlink" Target="http://www.gks.ru/free_doc/new_site/prices/bd/bd_1902001.htm" TargetMode="External"/><Relationship Id="rId4" Type="http://schemas.openxmlformats.org/officeDocument/2006/relationships/drawing" Target="../drawings/drawing17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topLeftCell="I1" zoomScale="115" zoomScaleNormal="115" workbookViewId="0">
      <selection activeCell="AA12" sqref="AA12"/>
    </sheetView>
  </sheetViews>
  <sheetFormatPr defaultRowHeight="15" x14ac:dyDescent="0.25"/>
  <cols>
    <col min="2" max="2" width="19.7109375" customWidth="1"/>
    <col min="8" max="8" width="7.5703125" customWidth="1"/>
    <col min="10" max="10" width="10.5703125" bestFit="1" customWidth="1"/>
    <col min="13" max="13" width="8.7109375" customWidth="1"/>
  </cols>
  <sheetData>
    <row r="1" spans="1:27" x14ac:dyDescent="0.25">
      <c r="A1" t="s">
        <v>304</v>
      </c>
    </row>
    <row r="2" spans="1:27" x14ac:dyDescent="0.25">
      <c r="A2" t="s">
        <v>85</v>
      </c>
      <c r="O2" s="9"/>
    </row>
    <row r="3" spans="1:27" x14ac:dyDescent="0.25">
      <c r="A3" t="s">
        <v>305</v>
      </c>
      <c r="O3" s="9"/>
    </row>
    <row r="4" spans="1:27" x14ac:dyDescent="0.25">
      <c r="A4" t="s">
        <v>306</v>
      </c>
      <c r="O4" s="9"/>
    </row>
    <row r="6" spans="1:27" x14ac:dyDescent="0.25">
      <c r="A6" s="9"/>
      <c r="B6" s="9"/>
      <c r="C6" s="9" t="s">
        <v>36</v>
      </c>
      <c r="D6" s="9" t="s">
        <v>37</v>
      </c>
      <c r="E6" s="9" t="s">
        <v>43</v>
      </c>
      <c r="F6" s="9" t="s">
        <v>61</v>
      </c>
      <c r="G6" s="9" t="s">
        <v>69</v>
      </c>
      <c r="H6" s="9" t="s">
        <v>77</v>
      </c>
      <c r="I6" s="9" t="s">
        <v>91</v>
      </c>
      <c r="J6" s="9" t="s">
        <v>184</v>
      </c>
      <c r="K6" s="9" t="s">
        <v>185</v>
      </c>
      <c r="L6" s="9" t="s">
        <v>188</v>
      </c>
      <c r="M6" s="9" t="s">
        <v>189</v>
      </c>
      <c r="N6" s="9" t="s">
        <v>191</v>
      </c>
      <c r="O6" s="9" t="s">
        <v>196</v>
      </c>
      <c r="P6" s="9" t="s">
        <v>198</v>
      </c>
      <c r="Q6" s="9" t="s">
        <v>290</v>
      </c>
      <c r="R6" s="9" t="s">
        <v>292</v>
      </c>
      <c r="S6" t="s">
        <v>307</v>
      </c>
      <c r="T6" t="s">
        <v>312</v>
      </c>
      <c r="U6" t="s">
        <v>321</v>
      </c>
      <c r="V6" t="s">
        <v>323</v>
      </c>
      <c r="W6" t="s">
        <v>325</v>
      </c>
      <c r="X6" t="s">
        <v>330</v>
      </c>
      <c r="Y6" t="s">
        <v>336</v>
      </c>
      <c r="Z6" s="83" t="s">
        <v>346</v>
      </c>
      <c r="AA6" s="83" t="s">
        <v>348</v>
      </c>
    </row>
    <row r="7" spans="1:27" x14ac:dyDescent="0.25">
      <c r="A7" s="9" t="s">
        <v>23</v>
      </c>
      <c r="B7" s="9" t="s">
        <v>76</v>
      </c>
      <c r="C7" s="9">
        <v>31.645300707000001</v>
      </c>
      <c r="D7" s="9">
        <v>-25.47585624551003</v>
      </c>
      <c r="E7" s="9">
        <v>61.178878503020016</v>
      </c>
      <c r="F7" s="9">
        <v>80.673082798440007</v>
      </c>
      <c r="G7" s="9">
        <v>114.46714037561</v>
      </c>
      <c r="H7" s="9">
        <v>4.9536714980000007E-2</v>
      </c>
      <c r="I7" s="9">
        <v>61.76836990788</v>
      </c>
      <c r="J7" s="9">
        <v>260.38626902321005</v>
      </c>
      <c r="K7" s="9">
        <v>85.878317463529967</v>
      </c>
      <c r="L7" s="9">
        <v>92.502468286079989</v>
      </c>
      <c r="M7" s="9">
        <v>14.159428558579979</v>
      </c>
      <c r="N7" s="9">
        <v>43.74345202700227</v>
      </c>
      <c r="O7" s="9">
        <v>83.4771458451157</v>
      </c>
      <c r="P7" s="9">
        <v>69.708414192900563</v>
      </c>
      <c r="Q7" s="9">
        <v>278.04604980380304</v>
      </c>
      <c r="R7" s="9">
        <v>217.11703955742399</v>
      </c>
      <c r="S7">
        <v>74.7</v>
      </c>
      <c r="T7">
        <v>162.1</v>
      </c>
      <c r="U7" s="9">
        <v>179.77544392253299</v>
      </c>
      <c r="V7" s="9">
        <v>275.08733291766998</v>
      </c>
      <c r="W7" s="9">
        <v>187.39068198964</v>
      </c>
      <c r="X7" s="9">
        <v>173.265103428657</v>
      </c>
      <c r="Y7" s="141">
        <v>353.9</v>
      </c>
      <c r="Z7" s="128">
        <v>184.90521932204848</v>
      </c>
      <c r="AA7" s="128">
        <v>358.6</v>
      </c>
    </row>
    <row r="8" spans="1:27" x14ac:dyDescent="0.25">
      <c r="A8" t="s">
        <v>23</v>
      </c>
      <c r="B8" t="s">
        <v>30</v>
      </c>
      <c r="C8" s="9">
        <v>33.340433650000001</v>
      </c>
      <c r="D8" s="9">
        <v>-25.973947215020033</v>
      </c>
      <c r="E8" s="9">
        <v>57.626815649489998</v>
      </c>
      <c r="F8" s="9">
        <v>75.367507540369985</v>
      </c>
      <c r="G8" s="9">
        <v>102.99228324466999</v>
      </c>
      <c r="H8" s="9">
        <v>-19.339361374420001</v>
      </c>
      <c r="I8" s="9">
        <v>41.473512418120002</v>
      </c>
      <c r="J8" s="9">
        <v>237.82060366112998</v>
      </c>
      <c r="K8" s="9">
        <v>48.079628054810001</v>
      </c>
      <c r="L8" s="9">
        <v>49.004248349489991</v>
      </c>
      <c r="M8" s="9">
        <v>2.2257212645899962</v>
      </c>
      <c r="N8" s="9">
        <v>43.068599893450013</v>
      </c>
      <c r="O8" s="9">
        <v>71.897467919269999</v>
      </c>
      <c r="P8" s="9">
        <v>58.206844306780013</v>
      </c>
      <c r="Q8" s="9">
        <v>244.76190949094999</v>
      </c>
      <c r="R8" s="9">
        <v>148.39850165019601</v>
      </c>
      <c r="S8">
        <v>42.3</v>
      </c>
      <c r="T8">
        <v>108.3</v>
      </c>
      <c r="U8" s="9">
        <v>98.316782544958997</v>
      </c>
      <c r="V8" s="9">
        <v>172.87588823968301</v>
      </c>
      <c r="W8" s="9">
        <v>90.875663542016994</v>
      </c>
      <c r="X8" s="9">
        <v>104.736886357687</v>
      </c>
      <c r="Y8" s="141">
        <v>263.2</v>
      </c>
      <c r="Z8" s="128">
        <v>188.797636858348</v>
      </c>
      <c r="AA8" s="128">
        <v>380</v>
      </c>
    </row>
    <row r="9" spans="1:27" x14ac:dyDescent="0.25">
      <c r="A9" s="9" t="s">
        <v>23</v>
      </c>
      <c r="B9" s="9" t="s">
        <v>31</v>
      </c>
      <c r="C9" s="9">
        <v>1.3614831699999996</v>
      </c>
      <c r="D9" s="9">
        <v>0.7</v>
      </c>
      <c r="E9" s="9">
        <v>3.7612903721699862</v>
      </c>
      <c r="F9" s="9">
        <v>6.5383163483900031</v>
      </c>
      <c r="G9" s="9">
        <v>11.428548826740002</v>
      </c>
      <c r="H9" s="9">
        <v>18.509513302550001</v>
      </c>
      <c r="I9" s="9">
        <v>20.34090839117</v>
      </c>
      <c r="J9" s="9">
        <v>22.290699136949982</v>
      </c>
      <c r="K9" s="9">
        <v>36.222981051279959</v>
      </c>
      <c r="L9" s="9">
        <v>40.688125968569992</v>
      </c>
      <c r="M9" s="9">
        <v>10.084926587309983</v>
      </c>
      <c r="N9" s="9">
        <v>-2.6727790350361751</v>
      </c>
      <c r="O9" s="9">
        <v>-5.5424840664259136</v>
      </c>
      <c r="P9" s="9">
        <v>5.7248337836590295</v>
      </c>
      <c r="Q9" s="9">
        <v>28.058415925618299</v>
      </c>
      <c r="R9" s="9">
        <v>62.334800914713</v>
      </c>
      <c r="S9">
        <v>25.2</v>
      </c>
      <c r="T9">
        <v>38.1</v>
      </c>
      <c r="U9" s="9">
        <v>40.116113085616</v>
      </c>
      <c r="V9" s="9">
        <v>69.356568972016007</v>
      </c>
      <c r="W9" s="9">
        <v>56.767873161143001</v>
      </c>
      <c r="X9" s="9">
        <v>43.241614301090998</v>
      </c>
      <c r="Y9" s="141">
        <v>35.719220113207001</v>
      </c>
      <c r="Z9" s="141">
        <v>-9.6330826907544989</v>
      </c>
      <c r="AA9" s="141">
        <v>-18.3</v>
      </c>
    </row>
    <row r="10" spans="1:27" x14ac:dyDescent="0.25">
      <c r="A10" s="9" t="s">
        <v>23</v>
      </c>
      <c r="B10" s="9" t="s">
        <v>32</v>
      </c>
      <c r="C10" s="9">
        <v>-3.056616113</v>
      </c>
      <c r="D10" s="9">
        <v>-0.2</v>
      </c>
      <c r="E10" s="9">
        <v>-0.20922751863999967</v>
      </c>
      <c r="F10" s="9">
        <v>-1.2327410903200007</v>
      </c>
      <c r="G10" s="9">
        <v>4.630830419999999E-2</v>
      </c>
      <c r="H10" s="9">
        <v>0.87938478684999988</v>
      </c>
      <c r="I10" s="9">
        <v>-4.6050901409999997E-2</v>
      </c>
      <c r="J10" s="9">
        <v>0.27496622512999991</v>
      </c>
      <c r="K10" s="9">
        <v>1.5757083574400002</v>
      </c>
      <c r="L10" s="9">
        <v>2.8100939680199994</v>
      </c>
      <c r="M10" s="9">
        <v>1.6487807066799998</v>
      </c>
      <c r="N10" s="9">
        <v>2.5168578474240255</v>
      </c>
      <c r="O10" s="9">
        <v>14.4704299385205</v>
      </c>
      <c r="P10" s="9">
        <v>3.4698531628442244</v>
      </c>
      <c r="Q10" s="9">
        <v>0.63588089904067502</v>
      </c>
      <c r="R10" s="9">
        <v>1.3236645177440001</v>
      </c>
      <c r="S10">
        <v>1.1000000000000001</v>
      </c>
      <c r="T10">
        <v>2.4</v>
      </c>
      <c r="U10" s="9">
        <v>6.1913783694999998</v>
      </c>
      <c r="V10" s="9">
        <v>7.3496252429510003</v>
      </c>
      <c r="W10" s="9">
        <v>21.900955292086</v>
      </c>
      <c r="X10" s="9">
        <v>-1.6403560644499999</v>
      </c>
      <c r="Y10" s="141">
        <v>5.3187834284709998</v>
      </c>
      <c r="Z10" s="141">
        <v>-0.50937965340710001</v>
      </c>
      <c r="AA10" s="141">
        <v>1.3</v>
      </c>
    </row>
    <row r="11" spans="1:27" x14ac:dyDescent="0.25">
      <c r="B11" t="s">
        <v>192</v>
      </c>
      <c r="M11">
        <v>0.2</v>
      </c>
      <c r="N11" s="9">
        <v>0.83077332116439984</v>
      </c>
      <c r="O11" s="9">
        <v>2.6517320537511244</v>
      </c>
      <c r="P11" s="9">
        <v>2.3068829396173003</v>
      </c>
      <c r="Q11" s="9">
        <v>4.5898434881941004</v>
      </c>
      <c r="R11" s="9">
        <v>5.060072474769</v>
      </c>
      <c r="S11" s="9">
        <v>6.1</v>
      </c>
      <c r="T11">
        <v>13.3</v>
      </c>
      <c r="U11" s="9">
        <v>35.151169922457001</v>
      </c>
      <c r="V11" s="9">
        <v>25.505250463018999</v>
      </c>
      <c r="W11" s="9">
        <v>17.846189994391999</v>
      </c>
      <c r="X11" s="9">
        <v>26.926958834328001</v>
      </c>
      <c r="Y11" s="141">
        <v>49.6</v>
      </c>
      <c r="Z11" s="141">
        <v>6.2500448078620714</v>
      </c>
      <c r="AA11" s="141">
        <v>-4.3</v>
      </c>
    </row>
    <row r="12" spans="1:27" x14ac:dyDescent="0.25">
      <c r="C12" s="9"/>
      <c r="D12" s="9"/>
      <c r="E12" s="9"/>
      <c r="F12" s="9"/>
      <c r="G12" s="9"/>
      <c r="H12" s="9"/>
    </row>
    <row r="13" spans="1:27" s="83" customFormat="1" x14ac:dyDescent="0.25">
      <c r="A13" s="83" t="s">
        <v>343</v>
      </c>
      <c r="C13" s="141"/>
      <c r="D13" s="141"/>
      <c r="E13" s="141"/>
      <c r="F13" s="141"/>
      <c r="G13" s="141"/>
      <c r="H13" s="141"/>
    </row>
    <row r="14" spans="1:27" x14ac:dyDescent="0.25">
      <c r="C14" s="9"/>
      <c r="D14" s="9"/>
      <c r="E14" s="9"/>
      <c r="F14" s="9"/>
      <c r="G14" s="9"/>
      <c r="H14" s="9"/>
      <c r="Z14" s="83"/>
    </row>
    <row r="15" spans="1:27" x14ac:dyDescent="0.25">
      <c r="C15" s="9"/>
      <c r="D15" s="9"/>
      <c r="E15" s="9"/>
      <c r="F15" s="9"/>
      <c r="G15" s="9"/>
      <c r="H15" s="9"/>
      <c r="Z15" s="83"/>
    </row>
    <row r="16" spans="1:27" x14ac:dyDescent="0.25">
      <c r="C16" s="9"/>
      <c r="D16" s="9"/>
      <c r="E16" s="9"/>
      <c r="F16" s="9"/>
      <c r="G16" s="9"/>
      <c r="H16" s="9"/>
      <c r="Z16" s="83"/>
    </row>
    <row r="17" spans="10:26" x14ac:dyDescent="0.25">
      <c r="Z17" s="83"/>
    </row>
    <row r="18" spans="10:26" x14ac:dyDescent="0.25">
      <c r="Z18" s="83"/>
    </row>
    <row r="19" spans="10:26" x14ac:dyDescent="0.25">
      <c r="Z19" s="83"/>
    </row>
    <row r="20" spans="10:26" x14ac:dyDescent="0.25">
      <c r="Z20" s="83"/>
    </row>
    <row r="21" spans="10:26" x14ac:dyDescent="0.25">
      <c r="Z21" s="83"/>
    </row>
    <row r="22" spans="10:26" x14ac:dyDescent="0.25">
      <c r="Z22" s="83"/>
    </row>
    <row r="23" spans="10:26" x14ac:dyDescent="0.25">
      <c r="J23">
        <v>1</v>
      </c>
      <c r="Z23" s="83"/>
    </row>
    <row r="24" spans="10:26" x14ac:dyDescent="0.25">
      <c r="Z24" s="83"/>
    </row>
    <row r="25" spans="10:26" x14ac:dyDescent="0.25">
      <c r="Z25" s="83"/>
    </row>
    <row r="26" spans="10:26" x14ac:dyDescent="0.25">
      <c r="Z26" s="83"/>
    </row>
    <row r="27" spans="10:26" x14ac:dyDescent="0.25">
      <c r="W27" s="83"/>
      <c r="X27" s="83"/>
      <c r="Y27" s="83"/>
      <c r="Z27" s="83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7"/>
  <sheetViews>
    <sheetView workbookViewId="0">
      <selection activeCell="J7" sqref="J7"/>
    </sheetView>
  </sheetViews>
  <sheetFormatPr defaultRowHeight="15" x14ac:dyDescent="0.25"/>
  <cols>
    <col min="2" max="2" width="22.7109375" customWidth="1"/>
    <col min="3" max="4" width="10.140625" bestFit="1" customWidth="1"/>
  </cols>
  <sheetData>
    <row r="1" spans="2:11" ht="15.75" x14ac:dyDescent="0.25">
      <c r="B1" s="130" t="s">
        <v>322</v>
      </c>
    </row>
    <row r="2" spans="2:11" ht="15.75" x14ac:dyDescent="0.25">
      <c r="B2" s="130" t="s">
        <v>324</v>
      </c>
    </row>
    <row r="3" spans="2:11" ht="15.75" x14ac:dyDescent="0.25">
      <c r="B3" s="130" t="s">
        <v>280</v>
      </c>
    </row>
    <row r="4" spans="2:11" ht="15.75" x14ac:dyDescent="0.25">
      <c r="B4" s="130" t="s">
        <v>306</v>
      </c>
    </row>
    <row r="5" spans="2:11" x14ac:dyDescent="0.25">
      <c r="C5">
        <v>2020</v>
      </c>
      <c r="D5">
        <v>2021</v>
      </c>
      <c r="E5" t="s">
        <v>337</v>
      </c>
    </row>
    <row r="6" spans="2:11" x14ac:dyDescent="0.25">
      <c r="B6" s="83" t="s">
        <v>313</v>
      </c>
      <c r="C6" s="83">
        <v>7</v>
      </c>
      <c r="D6" s="9">
        <v>-0.6</v>
      </c>
      <c r="E6" s="9">
        <v>1.4</v>
      </c>
      <c r="F6" s="139"/>
      <c r="G6" s="135"/>
      <c r="H6" s="82"/>
      <c r="I6" s="82"/>
      <c r="J6" s="82"/>
      <c r="K6" s="136"/>
    </row>
    <row r="7" spans="2:11" x14ac:dyDescent="0.25">
      <c r="B7" s="83" t="s">
        <v>319</v>
      </c>
      <c r="C7" s="83">
        <v>24.2</v>
      </c>
      <c r="D7" s="9">
        <v>3.7</v>
      </c>
      <c r="E7" s="9">
        <v>-19.600000000000001</v>
      </c>
      <c r="F7" s="139"/>
      <c r="G7" s="135"/>
      <c r="H7" s="82"/>
      <c r="I7" s="82"/>
      <c r="J7" s="82"/>
      <c r="K7" s="136"/>
    </row>
    <row r="8" spans="2:11" x14ac:dyDescent="0.25">
      <c r="B8" s="83" t="s">
        <v>315</v>
      </c>
      <c r="C8" s="83">
        <v>8.5</v>
      </c>
      <c r="D8" s="9">
        <v>15.8</v>
      </c>
      <c r="E8" s="9">
        <v>-27.1</v>
      </c>
      <c r="F8" s="139"/>
      <c r="G8" s="135"/>
      <c r="H8" s="82"/>
      <c r="I8" s="82"/>
      <c r="J8" s="82"/>
      <c r="K8" s="136"/>
    </row>
    <row r="9" spans="2:11" x14ac:dyDescent="0.25">
      <c r="B9" s="83" t="s">
        <v>314</v>
      </c>
      <c r="C9" s="83">
        <v>10.9</v>
      </c>
      <c r="D9" s="9">
        <v>22.6</v>
      </c>
      <c r="E9" s="9">
        <v>-39.5</v>
      </c>
      <c r="F9" s="139"/>
      <c r="G9" s="135"/>
      <c r="H9" s="82"/>
      <c r="I9" s="82"/>
      <c r="J9" s="82"/>
      <c r="K9" s="136"/>
    </row>
    <row r="10" spans="2:11" x14ac:dyDescent="0.25">
      <c r="B10" s="83" t="s">
        <v>318</v>
      </c>
      <c r="C10" s="83">
        <v>38</v>
      </c>
      <c r="D10" s="9">
        <v>3.1</v>
      </c>
      <c r="E10" s="9">
        <v>-44.4</v>
      </c>
      <c r="F10" s="139"/>
      <c r="G10" s="135"/>
      <c r="H10" s="82"/>
      <c r="I10" s="82"/>
      <c r="J10" s="82"/>
      <c r="K10" s="136"/>
    </row>
    <row r="11" spans="2:11" x14ac:dyDescent="0.25">
      <c r="B11" s="83" t="s">
        <v>316</v>
      </c>
      <c r="C11" s="83">
        <v>29</v>
      </c>
      <c r="D11" s="9">
        <v>-1.9</v>
      </c>
      <c r="E11" s="9">
        <v>-49.9</v>
      </c>
      <c r="F11" s="139"/>
      <c r="G11" s="135"/>
      <c r="H11" s="82"/>
      <c r="I11" s="82"/>
      <c r="J11" s="82"/>
      <c r="K11" s="136"/>
    </row>
    <row r="12" spans="2:11" x14ac:dyDescent="0.25">
      <c r="B12" s="83" t="s">
        <v>317</v>
      </c>
      <c r="C12" s="83">
        <v>51.7</v>
      </c>
      <c r="D12" s="9">
        <v>9.4</v>
      </c>
      <c r="E12" s="9">
        <v>-51.3</v>
      </c>
      <c r="F12" s="139"/>
      <c r="G12" s="135"/>
      <c r="H12" s="82"/>
      <c r="I12" s="82"/>
      <c r="J12" s="82"/>
      <c r="K12" s="136"/>
    </row>
    <row r="37" spans="6:6" x14ac:dyDescent="0.25">
      <c r="F37" s="3"/>
    </row>
  </sheetData>
  <sortState ref="B6:E12">
    <sortCondition descending="1" ref="E6:E12"/>
  </sortState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zoomScaleNormal="100" workbookViewId="0">
      <selection activeCell="Y9" sqref="Y9"/>
    </sheetView>
  </sheetViews>
  <sheetFormatPr defaultRowHeight="15" x14ac:dyDescent="0.25"/>
  <cols>
    <col min="1" max="1" width="26.140625" customWidth="1"/>
    <col min="10" max="10" width="12" customWidth="1"/>
    <col min="11" max="11" width="12.140625" customWidth="1"/>
    <col min="12" max="12" width="11.5703125" customWidth="1"/>
    <col min="13" max="13" width="11.28515625" customWidth="1"/>
  </cols>
  <sheetData>
    <row r="1" spans="1:25" x14ac:dyDescent="0.25">
      <c r="A1" t="s">
        <v>310</v>
      </c>
    </row>
    <row r="2" spans="1:25" x14ac:dyDescent="0.25">
      <c r="A2" t="s">
        <v>88</v>
      </c>
    </row>
    <row r="3" spans="1:25" x14ac:dyDescent="0.25">
      <c r="A3" t="s">
        <v>305</v>
      </c>
    </row>
    <row r="4" spans="1:25" x14ac:dyDescent="0.25">
      <c r="A4" t="s">
        <v>306</v>
      </c>
    </row>
    <row r="5" spans="1:25" x14ac:dyDescent="0.25">
      <c r="B5" t="s">
        <v>36</v>
      </c>
      <c r="C5" t="s">
        <v>37</v>
      </c>
      <c r="D5" t="s">
        <v>43</v>
      </c>
      <c r="E5" t="s">
        <v>61</v>
      </c>
      <c r="F5" t="s">
        <v>69</v>
      </c>
      <c r="G5" t="s">
        <v>77</v>
      </c>
      <c r="H5" t="s">
        <v>91</v>
      </c>
      <c r="I5" t="s">
        <v>184</v>
      </c>
      <c r="J5" t="s">
        <v>185</v>
      </c>
      <c r="K5" t="s">
        <v>188</v>
      </c>
      <c r="L5" t="s">
        <v>189</v>
      </c>
      <c r="M5" t="s">
        <v>191</v>
      </c>
      <c r="N5" t="s">
        <v>196</v>
      </c>
      <c r="O5" t="s">
        <v>198</v>
      </c>
      <c r="P5" t="s">
        <v>290</v>
      </c>
      <c r="Q5" t="s">
        <v>292</v>
      </c>
      <c r="R5" t="s">
        <v>307</v>
      </c>
      <c r="S5" t="s">
        <v>312</v>
      </c>
      <c r="T5" t="s">
        <v>321</v>
      </c>
      <c r="U5" t="s">
        <v>323</v>
      </c>
      <c r="V5" t="s">
        <v>325</v>
      </c>
      <c r="W5" t="s">
        <v>330</v>
      </c>
      <c r="X5" t="s">
        <v>336</v>
      </c>
      <c r="Y5" t="s">
        <v>345</v>
      </c>
    </row>
    <row r="6" spans="1:25" x14ac:dyDescent="0.25">
      <c r="A6" t="s">
        <v>334</v>
      </c>
      <c r="B6" s="9">
        <v>1.3614831699999996</v>
      </c>
      <c r="C6" s="9">
        <v>0.7</v>
      </c>
      <c r="D6" s="9">
        <v>3.7612903721699862</v>
      </c>
      <c r="E6" s="9">
        <v>6.5383163483900031</v>
      </c>
      <c r="F6" s="9">
        <v>11.428548826740002</v>
      </c>
      <c r="G6" s="9">
        <v>18.509513302550001</v>
      </c>
      <c r="H6" s="9">
        <v>20.34090839117</v>
      </c>
      <c r="I6" s="9">
        <v>22.290699136949982</v>
      </c>
      <c r="J6" s="9">
        <v>36.222981051279959</v>
      </c>
      <c r="K6" s="9">
        <v>40.688125968569992</v>
      </c>
      <c r="L6" s="9">
        <v>10.084926587309983</v>
      </c>
      <c r="M6" s="9">
        <v>-2.6727790350361751</v>
      </c>
      <c r="N6" s="9">
        <v>-5.5424840664259136</v>
      </c>
      <c r="O6" s="9">
        <v>5.7248337836590295</v>
      </c>
      <c r="P6" s="9">
        <v>28.058415925618299</v>
      </c>
      <c r="Q6" s="9">
        <v>62.334800914713</v>
      </c>
      <c r="R6" s="9">
        <v>25.2</v>
      </c>
      <c r="S6" s="9">
        <v>38.116518931816998</v>
      </c>
      <c r="T6" s="9">
        <v>40.116113085616</v>
      </c>
      <c r="U6" s="9">
        <v>69.356568972016007</v>
      </c>
      <c r="V6" s="9">
        <v>56.767873161143001</v>
      </c>
      <c r="W6" s="9">
        <v>43.241614301090998</v>
      </c>
      <c r="X6" s="9">
        <v>35.719220113207001</v>
      </c>
      <c r="Y6" s="72">
        <v>-18</v>
      </c>
    </row>
    <row r="7" spans="1:25" x14ac:dyDescent="0.25">
      <c r="A7" t="s">
        <v>26</v>
      </c>
      <c r="B7" s="9">
        <v>12.75409196</v>
      </c>
      <c r="C7" s="9">
        <v>9.5159842716299998</v>
      </c>
      <c r="D7" s="9">
        <v>18.197290355109999</v>
      </c>
      <c r="E7" s="9">
        <v>18.421519340750002</v>
      </c>
      <c r="F7" s="9">
        <v>19.497634789420001</v>
      </c>
      <c r="G7" s="9">
        <v>26.496537701400001</v>
      </c>
      <c r="H7" s="9">
        <v>28.1137162361</v>
      </c>
      <c r="I7" s="9">
        <v>36.774683539909987</v>
      </c>
      <c r="J7" s="9">
        <v>47.86229315745998</v>
      </c>
      <c r="K7" s="9">
        <v>54.511246840070001</v>
      </c>
      <c r="L7" s="9">
        <v>35.319125033679988</v>
      </c>
      <c r="M7" s="9">
        <v>26.796799839518926</v>
      </c>
      <c r="N7" s="9">
        <v>20.260805550280249</v>
      </c>
      <c r="O7" s="9">
        <v>31.395501801157138</v>
      </c>
      <c r="P7" s="9">
        <v>49.6644634341882</v>
      </c>
      <c r="Q7" s="9">
        <v>85.566885684179994</v>
      </c>
      <c r="R7" s="9">
        <v>47.9</v>
      </c>
      <c r="S7" s="9">
        <v>76.186619518265999</v>
      </c>
      <c r="T7" s="9">
        <v>96.235036823667997</v>
      </c>
      <c r="U7" s="9">
        <v>114.883384039029</v>
      </c>
      <c r="V7" s="9">
        <v>105.95137710063599</v>
      </c>
      <c r="W7" s="9">
        <v>105.772395026583</v>
      </c>
      <c r="X7" s="9">
        <v>111.844560246013</v>
      </c>
      <c r="Y7" s="72">
        <v>24</v>
      </c>
    </row>
    <row r="8" spans="1:25" x14ac:dyDescent="0.25">
      <c r="A8" t="s">
        <v>27</v>
      </c>
      <c r="B8" s="9">
        <v>11.392608790000001</v>
      </c>
      <c r="C8" s="9">
        <v>8.8604908428099982</v>
      </c>
      <c r="D8" s="9">
        <v>14.435999982940004</v>
      </c>
      <c r="E8" s="9">
        <v>11.883202992359998</v>
      </c>
      <c r="F8" s="9">
        <v>8.0690859626799991</v>
      </c>
      <c r="G8" s="9">
        <v>7.98702439885</v>
      </c>
      <c r="H8" s="9">
        <v>7.77280784493</v>
      </c>
      <c r="I8" s="9">
        <v>14.483984402960008</v>
      </c>
      <c r="J8" s="9">
        <v>11.639312106180018</v>
      </c>
      <c r="K8" s="9">
        <v>13.823120871500008</v>
      </c>
      <c r="L8" s="9">
        <v>25.234198446370005</v>
      </c>
      <c r="M8" s="9">
        <v>29.469578874555101</v>
      </c>
      <c r="N8" s="9">
        <v>25.803289616706163</v>
      </c>
      <c r="O8" s="9">
        <v>25.670668017498109</v>
      </c>
      <c r="P8" s="9">
        <v>21.606047508569901</v>
      </c>
      <c r="Q8" s="9">
        <v>23.232084769465999</v>
      </c>
      <c r="R8" s="9">
        <v>22.7</v>
      </c>
      <c r="S8" s="9">
        <v>38.070100586448</v>
      </c>
      <c r="T8" s="9">
        <v>56.118923738051997</v>
      </c>
      <c r="U8" s="9">
        <v>45.526815067012002</v>
      </c>
      <c r="V8" s="9">
        <v>49.183503939491999</v>
      </c>
      <c r="W8" s="9">
        <v>62.530780725490999</v>
      </c>
      <c r="X8" s="9">
        <v>76.125340132805803</v>
      </c>
      <c r="Y8" s="72">
        <v>43</v>
      </c>
    </row>
    <row r="9" spans="1:25" x14ac:dyDescent="0.25">
      <c r="A9" t="s">
        <v>194</v>
      </c>
      <c r="B9" s="9"/>
      <c r="C9" s="9">
        <v>3.5274475479199756</v>
      </c>
      <c r="D9" s="9">
        <v>8.0032417133700218</v>
      </c>
      <c r="E9" s="9">
        <v>8.1614274917300786</v>
      </c>
      <c r="F9" s="9">
        <v>10.266849462549915</v>
      </c>
      <c r="G9" s="9">
        <v>21.728674157009984</v>
      </c>
      <c r="H9" s="9">
        <v>27.722298307140008</v>
      </c>
      <c r="I9" s="9">
        <v>27.305231317680068</v>
      </c>
      <c r="J9" s="9">
        <v>41.466420937270158</v>
      </c>
      <c r="K9" s="9">
        <v>44.420000378961824</v>
      </c>
      <c r="L9" s="9">
        <v>13.754594320002303</v>
      </c>
      <c r="M9" s="9">
        <v>-2.1158047896276693</v>
      </c>
      <c r="N9" s="9">
        <v>3.01154611555289</v>
      </c>
      <c r="O9" s="9">
        <v>18.635207614734711</v>
      </c>
      <c r="P9" s="9">
        <v>36.887925012744326</v>
      </c>
      <c r="Q9" s="9">
        <v>80.83138675871939</v>
      </c>
      <c r="R9" s="9">
        <v>54.6</v>
      </c>
      <c r="S9" s="9">
        <v>69.122826702631997</v>
      </c>
      <c r="T9" s="9">
        <v>65.829490743142003</v>
      </c>
      <c r="U9" s="9">
        <v>84.530721962949954</v>
      </c>
      <c r="V9" s="9">
        <v>81.563860935323987</v>
      </c>
      <c r="W9" s="9">
        <v>66.574747964706035</v>
      </c>
      <c r="X9" s="141">
        <v>21.1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9"/>
  <sheetViews>
    <sheetView zoomScaleNormal="100" workbookViewId="0">
      <selection activeCell="M9" sqref="M9"/>
    </sheetView>
  </sheetViews>
  <sheetFormatPr defaultRowHeight="15" x14ac:dyDescent="0.25"/>
  <cols>
    <col min="2" max="2" width="26.140625" customWidth="1"/>
    <col min="11" max="11" width="12" customWidth="1"/>
    <col min="12" max="12" width="12.140625" customWidth="1"/>
    <col min="13" max="13" width="11.5703125" customWidth="1"/>
    <col min="14" max="14" width="11.28515625" customWidth="1"/>
  </cols>
  <sheetData>
    <row r="1" spans="2:23" x14ac:dyDescent="0.25">
      <c r="B1" t="s">
        <v>311</v>
      </c>
    </row>
    <row r="2" spans="2:23" x14ac:dyDescent="0.25">
      <c r="B2" t="s">
        <v>326</v>
      </c>
    </row>
    <row r="3" spans="2:23" x14ac:dyDescent="0.25">
      <c r="B3" t="s">
        <v>305</v>
      </c>
    </row>
    <row r="4" spans="2:23" x14ac:dyDescent="0.25">
      <c r="B4" t="s">
        <v>306</v>
      </c>
    </row>
    <row r="5" spans="2:23" x14ac:dyDescent="0.25">
      <c r="C5" t="s">
        <v>198</v>
      </c>
      <c r="D5" t="s">
        <v>290</v>
      </c>
      <c r="E5" t="s">
        <v>292</v>
      </c>
      <c r="F5" t="s">
        <v>307</v>
      </c>
      <c r="G5" t="s">
        <v>312</v>
      </c>
      <c r="H5" t="s">
        <v>321</v>
      </c>
      <c r="I5" t="s">
        <v>323</v>
      </c>
      <c r="J5" t="s">
        <v>325</v>
      </c>
      <c r="K5" t="s">
        <v>330</v>
      </c>
      <c r="L5" t="s">
        <v>336</v>
      </c>
      <c r="M5" t="s">
        <v>345</v>
      </c>
    </row>
    <row r="6" spans="2:23" x14ac:dyDescent="0.25">
      <c r="B6" t="s">
        <v>335</v>
      </c>
      <c r="C6" s="9">
        <v>2.3068829396173003</v>
      </c>
      <c r="D6" s="9">
        <v>4.5898434881941004</v>
      </c>
      <c r="E6" s="9">
        <v>5.060072474769</v>
      </c>
      <c r="F6" s="9">
        <v>6.1</v>
      </c>
      <c r="G6" s="9">
        <v>13.281379500733999</v>
      </c>
      <c r="H6" s="9">
        <v>35.151169922457001</v>
      </c>
      <c r="I6" s="9">
        <v>25.505250463018999</v>
      </c>
      <c r="J6" s="9">
        <v>17.846189994391999</v>
      </c>
      <c r="K6" s="9">
        <v>26.926958834328001</v>
      </c>
      <c r="L6" s="9">
        <v>49.6</v>
      </c>
      <c r="M6" s="9">
        <v>-4.3</v>
      </c>
      <c r="N6" s="9"/>
      <c r="O6" s="9"/>
      <c r="P6" s="9"/>
      <c r="Q6" s="9"/>
      <c r="R6" s="9"/>
      <c r="S6" s="9"/>
      <c r="T6" s="9"/>
      <c r="U6" s="9"/>
      <c r="V6" s="9"/>
      <c r="W6" s="9"/>
    </row>
    <row r="7" spans="2:23" x14ac:dyDescent="0.25">
      <c r="B7" t="s">
        <v>327</v>
      </c>
      <c r="C7" s="9">
        <v>2.3072072028673003</v>
      </c>
      <c r="D7" s="9">
        <v>4.6381818591941002</v>
      </c>
      <c r="E7" s="9">
        <v>5.3115410610299998</v>
      </c>
      <c r="F7" s="9">
        <v>6.1</v>
      </c>
      <c r="G7" s="9">
        <v>13.399051871774001</v>
      </c>
      <c r="H7" s="9">
        <v>35.647435285744997</v>
      </c>
      <c r="I7" s="9">
        <v>26.681719855669002</v>
      </c>
      <c r="J7" s="9">
        <v>23.383429704786</v>
      </c>
      <c r="K7" s="9">
        <v>28.92647163701</v>
      </c>
      <c r="L7" s="9">
        <v>51</v>
      </c>
      <c r="M7" s="9">
        <v>5.4</v>
      </c>
      <c r="N7" s="9"/>
      <c r="O7" s="9"/>
      <c r="P7" s="9"/>
      <c r="Q7" s="9"/>
      <c r="R7" s="9"/>
      <c r="S7" s="9"/>
      <c r="T7" s="9"/>
      <c r="U7" s="9"/>
      <c r="V7" s="9"/>
      <c r="W7" s="9"/>
    </row>
    <row r="8" spans="2:23" x14ac:dyDescent="0.25">
      <c r="B8" t="s">
        <v>328</v>
      </c>
      <c r="C8" s="9">
        <v>3.2426325000000001E-4</v>
      </c>
      <c r="D8" s="9">
        <v>4.8338370999999991E-2</v>
      </c>
      <c r="E8" s="9">
        <v>0.25146858626099999</v>
      </c>
      <c r="F8" s="9">
        <v>0.1</v>
      </c>
      <c r="G8" s="9">
        <v>0.11767237104</v>
      </c>
      <c r="H8" s="9">
        <v>0.49626536328800003</v>
      </c>
      <c r="I8" s="9">
        <v>1.1764693926500001</v>
      </c>
      <c r="J8" s="9">
        <v>5.5372397103940001</v>
      </c>
      <c r="K8" s="9">
        <v>1.9995128026819999</v>
      </c>
      <c r="L8" s="9">
        <v>1.4</v>
      </c>
      <c r="M8" s="9">
        <v>9.6999999999999993</v>
      </c>
      <c r="N8" s="9"/>
      <c r="O8" s="9"/>
      <c r="P8" s="9"/>
      <c r="Q8" s="9"/>
      <c r="R8" s="9"/>
      <c r="S8" s="9"/>
      <c r="T8" s="9"/>
      <c r="U8" s="9"/>
      <c r="V8" s="9"/>
      <c r="W8" s="9"/>
    </row>
    <row r="9" spans="2:23" x14ac:dyDescent="0.25">
      <c r="B9" t="s">
        <v>329</v>
      </c>
      <c r="C9" s="9"/>
      <c r="D9" s="9">
        <v>4.9133132283099998</v>
      </c>
      <c r="E9" s="9">
        <v>5.7609329899103976</v>
      </c>
      <c r="F9" s="9">
        <v>7.9483730770387995</v>
      </c>
      <c r="G9" s="9">
        <v>16.534950854170997</v>
      </c>
      <c r="H9" s="9">
        <v>37.598194916516704</v>
      </c>
      <c r="I9" s="9">
        <v>26.224756123082393</v>
      </c>
      <c r="J9" s="9">
        <v>20.979304039260999</v>
      </c>
      <c r="K9" s="9">
        <v>28.398802398583008</v>
      </c>
      <c r="L9" s="9">
        <v>51.5</v>
      </c>
      <c r="M9" s="9"/>
      <c r="N9" s="9"/>
      <c r="O9" s="9"/>
      <c r="P9" s="9"/>
      <c r="Q9" s="9"/>
      <c r="R9" s="9"/>
      <c r="S9" s="9"/>
      <c r="T9" s="9"/>
      <c r="U9" s="9"/>
      <c r="V9" s="9"/>
      <c r="W9" s="9"/>
    </row>
  </sheetData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AH78"/>
  <sheetViews>
    <sheetView topLeftCell="J55" zoomScaleNormal="100" workbookViewId="0">
      <selection activeCell="Z84" sqref="Z84"/>
    </sheetView>
  </sheetViews>
  <sheetFormatPr defaultRowHeight="15" x14ac:dyDescent="0.25"/>
  <cols>
    <col min="1" max="6" width="9.140625" style="102"/>
    <col min="7" max="7" width="10.140625" style="102" bestFit="1" customWidth="1"/>
    <col min="8" max="8" width="15.5703125" style="102" customWidth="1"/>
    <col min="9" max="9" width="13.140625" style="102" customWidth="1"/>
    <col min="10" max="10" width="13.7109375" style="102" customWidth="1"/>
    <col min="11" max="11" width="15.85546875" style="102" customWidth="1"/>
    <col min="12" max="12" width="13.7109375" style="102" customWidth="1"/>
    <col min="13" max="13" width="12.85546875" style="102" customWidth="1"/>
    <col min="14" max="14" width="14.85546875" style="102" customWidth="1"/>
    <col min="15" max="15" width="12.85546875" style="102" customWidth="1"/>
    <col min="16" max="16" width="13.5703125" style="102" customWidth="1"/>
    <col min="17" max="17" width="13.85546875" style="102" customWidth="1"/>
    <col min="18" max="18" width="13.28515625" style="102" customWidth="1"/>
    <col min="19" max="20" width="13.5703125" style="102" customWidth="1"/>
    <col min="21" max="21" width="14.140625" style="102" customWidth="1"/>
    <col min="22" max="22" width="13.28515625" style="102" customWidth="1"/>
    <col min="23" max="23" width="13" style="102" customWidth="1"/>
    <col min="24" max="24" width="14.140625" style="102" customWidth="1"/>
    <col min="25" max="25" width="13.85546875" style="102" customWidth="1"/>
    <col min="26" max="26" width="12" style="102" customWidth="1"/>
    <col min="27" max="27" width="13" style="102" customWidth="1"/>
    <col min="28" max="28" width="12.5703125" style="102" customWidth="1"/>
    <col min="29" max="16384" width="9.140625" style="102"/>
  </cols>
  <sheetData>
    <row r="4" spans="6:33" x14ac:dyDescent="0.25">
      <c r="L4" s="102" t="s">
        <v>200</v>
      </c>
    </row>
    <row r="5" spans="6:33" x14ac:dyDescent="0.25">
      <c r="J5" s="102" t="s">
        <v>201</v>
      </c>
      <c r="Y5" s="102" t="s">
        <v>201</v>
      </c>
      <c r="Z5" s="102">
        <v>2017</v>
      </c>
      <c r="AC5" s="102" t="s">
        <v>202</v>
      </c>
    </row>
    <row r="6" spans="6:33" x14ac:dyDescent="0.25">
      <c r="J6" s="102">
        <v>2016</v>
      </c>
      <c r="K6" s="102">
        <v>2017</v>
      </c>
      <c r="L6" s="102">
        <v>2018</v>
      </c>
      <c r="N6" s="102" t="s">
        <v>203</v>
      </c>
      <c r="O6" s="102" t="s">
        <v>204</v>
      </c>
      <c r="P6" s="102" t="s">
        <v>205</v>
      </c>
      <c r="Q6" s="103">
        <v>4.8806585868941703E-2</v>
      </c>
      <c r="Y6" s="102" t="s">
        <v>206</v>
      </c>
      <c r="Z6" s="102" t="s">
        <v>207</v>
      </c>
      <c r="AA6" s="102" t="s">
        <v>208</v>
      </c>
    </row>
    <row r="7" spans="6:33" x14ac:dyDescent="0.25">
      <c r="F7" s="104"/>
      <c r="G7" s="104" t="s">
        <v>209</v>
      </c>
      <c r="I7" s="104" t="s">
        <v>205</v>
      </c>
      <c r="J7" s="105">
        <v>7737.9</v>
      </c>
      <c r="K7" s="102">
        <v>120</v>
      </c>
      <c r="L7" s="104">
        <v>8193.2999999999993</v>
      </c>
      <c r="M7" s="102" t="s">
        <v>205</v>
      </c>
      <c r="N7" s="106">
        <v>399.887</v>
      </c>
      <c r="O7" s="102">
        <v>8193.2999999999993</v>
      </c>
      <c r="P7" s="102" t="s">
        <v>210</v>
      </c>
      <c r="Q7" s="103">
        <v>0.5005754290876242</v>
      </c>
      <c r="X7" s="102" t="s">
        <v>211</v>
      </c>
      <c r="Y7" s="106">
        <v>0</v>
      </c>
      <c r="Z7" s="107">
        <f>99.8/100</f>
        <v>0.998</v>
      </c>
      <c r="AA7" s="106">
        <f>1-Z7</f>
        <v>2.0000000000000018E-3</v>
      </c>
      <c r="AC7" s="102">
        <v>48.7</v>
      </c>
    </row>
    <row r="8" spans="6:33" x14ac:dyDescent="0.25">
      <c r="F8" s="104"/>
      <c r="G8" s="108">
        <v>43555</v>
      </c>
      <c r="I8" s="105" t="s">
        <v>212</v>
      </c>
      <c r="J8" s="105">
        <v>105.9</v>
      </c>
      <c r="K8" s="104">
        <v>118.9</v>
      </c>
      <c r="M8" s="102" t="s">
        <v>213</v>
      </c>
      <c r="N8" s="102">
        <v>218.22499999999999</v>
      </c>
      <c r="O8" s="102">
        <v>38</v>
      </c>
      <c r="P8" s="102" t="s">
        <v>212</v>
      </c>
      <c r="Q8" s="103">
        <v>0.68388645920941959</v>
      </c>
      <c r="X8" s="102" t="s">
        <v>214</v>
      </c>
      <c r="Y8" s="106">
        <v>0</v>
      </c>
      <c r="Z8" s="107">
        <v>0.99642625878105251</v>
      </c>
      <c r="AA8" s="106">
        <f>1-Z8</f>
        <v>3.5737412189474904E-3</v>
      </c>
      <c r="AC8" s="102">
        <v>41.3</v>
      </c>
      <c r="AF8" s="102">
        <f>5497/5632</f>
        <v>0.97602982954545459</v>
      </c>
    </row>
    <row r="9" spans="6:33" x14ac:dyDescent="0.25">
      <c r="F9" s="104" t="s">
        <v>205</v>
      </c>
      <c r="G9" s="109">
        <v>77.56515204380149</v>
      </c>
      <c r="I9" s="105" t="s">
        <v>210</v>
      </c>
      <c r="J9" s="105">
        <v>106.4</v>
      </c>
      <c r="K9" s="104">
        <v>110.7</v>
      </c>
      <c r="M9" s="102" t="s">
        <v>215</v>
      </c>
      <c r="N9" s="102">
        <v>130.28800000000001</v>
      </c>
      <c r="O9" s="102">
        <v>31.4</v>
      </c>
      <c r="P9" s="102" t="s">
        <v>216</v>
      </c>
      <c r="Q9" s="103">
        <v>0.7433711340206185</v>
      </c>
      <c r="X9" s="102" t="s">
        <v>217</v>
      </c>
      <c r="Y9" s="106">
        <v>0</v>
      </c>
      <c r="Z9" s="107">
        <f>97.9/100</f>
        <v>0.97900000000000009</v>
      </c>
      <c r="AA9" s="106">
        <f>1-Z9</f>
        <v>2.0999999999999908E-2</v>
      </c>
      <c r="AC9" s="102">
        <v>27.1</v>
      </c>
      <c r="AF9" s="102">
        <f>20351474/48671506</f>
        <v>0.41813939350880164</v>
      </c>
      <c r="AG9" s="102">
        <f>13961142/48671506</f>
        <v>0.28684425750047676</v>
      </c>
    </row>
    <row r="10" spans="6:33" x14ac:dyDescent="0.25">
      <c r="F10" s="104" t="s">
        <v>218</v>
      </c>
      <c r="G10" s="109">
        <v>8.1162563681933566</v>
      </c>
      <c r="I10" s="105" t="s">
        <v>219</v>
      </c>
      <c r="J10" s="105">
        <v>97.3</v>
      </c>
      <c r="K10" s="110">
        <v>102.6</v>
      </c>
      <c r="M10" s="102" t="s">
        <v>220</v>
      </c>
      <c r="N10" s="102">
        <v>110.648</v>
      </c>
      <c r="O10" s="102">
        <v>41.3</v>
      </c>
      <c r="P10" s="102" t="s">
        <v>221</v>
      </c>
      <c r="Q10" s="103">
        <v>1.0195548387096776</v>
      </c>
      <c r="X10" s="102" t="s">
        <v>222</v>
      </c>
      <c r="Y10" s="106">
        <f>1-Z10-AA10</f>
        <v>1.8789944850923709E-3</v>
      </c>
      <c r="Z10" s="107">
        <f>97.9/100</f>
        <v>0.97900000000000009</v>
      </c>
      <c r="AA10" s="106">
        <v>1.9121005514907537E-2</v>
      </c>
      <c r="AC10" s="102">
        <v>8.1</v>
      </c>
      <c r="AF10" s="102">
        <f>406239/407696</f>
        <v>0.99642625878105251</v>
      </c>
    </row>
    <row r="11" spans="6:33" x14ac:dyDescent="0.25">
      <c r="F11" s="104" t="s">
        <v>223</v>
      </c>
      <c r="G11" s="109">
        <v>1.5980336884969966</v>
      </c>
      <c r="I11" s="105" t="s">
        <v>216</v>
      </c>
      <c r="J11" s="105">
        <v>81.8</v>
      </c>
      <c r="K11" s="104">
        <v>87.3</v>
      </c>
      <c r="M11" s="102" t="s">
        <v>222</v>
      </c>
      <c r="N11" s="102">
        <v>96.845399999999998</v>
      </c>
      <c r="O11" s="102">
        <v>25.9</v>
      </c>
      <c r="P11" s="102" t="s">
        <v>224</v>
      </c>
      <c r="Q11" s="103">
        <v>1.1263445945945945</v>
      </c>
      <c r="X11" s="102" t="s">
        <v>220</v>
      </c>
      <c r="Y11" s="106">
        <v>0</v>
      </c>
      <c r="Z11" s="107">
        <v>0.97602982954545459</v>
      </c>
      <c r="AA11" s="106">
        <f>1-Z11</f>
        <v>2.3970170454545414E-2</v>
      </c>
    </row>
    <row r="12" spans="6:33" x14ac:dyDescent="0.25">
      <c r="F12" s="104" t="s">
        <v>225</v>
      </c>
      <c r="G12" s="109">
        <v>1.1698376955166341</v>
      </c>
      <c r="I12" s="105" t="s">
        <v>221</v>
      </c>
      <c r="J12" s="105">
        <v>74.3</v>
      </c>
      <c r="K12" s="105">
        <v>77.5</v>
      </c>
      <c r="M12" s="102" t="s">
        <v>212</v>
      </c>
      <c r="N12" s="106">
        <v>81.314099999999996</v>
      </c>
      <c r="O12" s="102">
        <v>118.9</v>
      </c>
      <c r="P12" s="102" t="s">
        <v>211</v>
      </c>
      <c r="Q12" s="103">
        <v>1.3275319148936171</v>
      </c>
      <c r="X12" s="102" t="s">
        <v>226</v>
      </c>
      <c r="Y12" s="106">
        <f>1-Z12-AA12</f>
        <v>6.6711162075710831E-2</v>
      </c>
      <c r="Z12" s="107">
        <v>0.91827873770311386</v>
      </c>
      <c r="AA12" s="106">
        <v>1.5010100221175318E-2</v>
      </c>
      <c r="AF12" s="102">
        <f>402/1103</f>
        <v>0.36446056210335448</v>
      </c>
    </row>
    <row r="13" spans="6:33" x14ac:dyDescent="0.25">
      <c r="F13" s="104" t="s">
        <v>211</v>
      </c>
      <c r="G13" s="109">
        <v>0.69137625516834023</v>
      </c>
      <c r="I13" s="105" t="s">
        <v>211</v>
      </c>
      <c r="J13" s="105">
        <v>58.9</v>
      </c>
      <c r="K13" s="105">
        <v>61.1</v>
      </c>
      <c r="M13" s="102" t="s">
        <v>211</v>
      </c>
      <c r="N13" s="102">
        <v>81.112200000000001</v>
      </c>
      <c r="O13" s="102">
        <v>61.1</v>
      </c>
      <c r="P13" s="102" t="s">
        <v>227</v>
      </c>
      <c r="Q13" s="103">
        <v>1.6543634496919917</v>
      </c>
      <c r="X13" s="110" t="s">
        <v>205</v>
      </c>
      <c r="Y13" s="111">
        <f>1-Z13-AA13</f>
        <v>1.8221874580554437E-2</v>
      </c>
      <c r="Z13" s="112">
        <v>0.9175064394888609</v>
      </c>
      <c r="AA13" s="111">
        <v>6.427168593058466E-2</v>
      </c>
      <c r="AF13" s="102">
        <f>1426227/1777124</f>
        <v>0.8025478244624461</v>
      </c>
    </row>
    <row r="14" spans="6:33" x14ac:dyDescent="0.25">
      <c r="F14" s="104" t="s">
        <v>221</v>
      </c>
      <c r="G14" s="109">
        <v>0.61774092788631119</v>
      </c>
      <c r="I14" s="105" t="s">
        <v>224</v>
      </c>
      <c r="J14" s="105">
        <v>55.5</v>
      </c>
      <c r="K14" s="105">
        <v>59.2</v>
      </c>
      <c r="M14" s="102" t="s">
        <v>227</v>
      </c>
      <c r="N14" s="102">
        <v>80.567499999999995</v>
      </c>
      <c r="O14" s="102">
        <v>48.7</v>
      </c>
      <c r="P14" s="102" t="s">
        <v>228</v>
      </c>
      <c r="Q14" s="103">
        <v>1.9948044280442803</v>
      </c>
      <c r="X14" s="104" t="s">
        <v>212</v>
      </c>
      <c r="Y14" s="113">
        <f>4.4/100</f>
        <v>4.4000000000000004E-2</v>
      </c>
      <c r="Z14" s="109">
        <f>83.3/100</f>
        <v>0.83299999999999996</v>
      </c>
      <c r="AA14" s="113">
        <v>0.12287970995727049</v>
      </c>
    </row>
    <row r="15" spans="6:33" x14ac:dyDescent="0.25">
      <c r="F15" s="104" t="s">
        <v>224</v>
      </c>
      <c r="G15" s="109">
        <v>0.56774635524822847</v>
      </c>
      <c r="I15" s="105" t="s">
        <v>227</v>
      </c>
      <c r="J15" s="105">
        <v>48.5</v>
      </c>
      <c r="K15" s="105">
        <v>48.7</v>
      </c>
      <c r="M15" s="102" t="s">
        <v>226</v>
      </c>
      <c r="N15" s="102">
        <v>79.652799999999999</v>
      </c>
      <c r="O15" s="102">
        <v>16.399999999999999</v>
      </c>
      <c r="P15" s="102" t="s">
        <v>229</v>
      </c>
      <c r="Q15" s="103">
        <v>2.1131650793650794</v>
      </c>
      <c r="X15" s="102" t="s">
        <v>221</v>
      </c>
      <c r="Y15" s="106">
        <v>0</v>
      </c>
      <c r="Z15" s="107">
        <v>0.8025478244624461</v>
      </c>
      <c r="AA15" s="106">
        <f>1-Z15</f>
        <v>0.1974521755375539</v>
      </c>
      <c r="AF15" s="102">
        <f>606/4317</f>
        <v>0.14037526059763725</v>
      </c>
    </row>
    <row r="16" spans="6:33" x14ac:dyDescent="0.25">
      <c r="F16" s="104" t="s">
        <v>227</v>
      </c>
      <c r="G16" s="109">
        <v>0.47501407818441643</v>
      </c>
      <c r="I16" s="105" t="s">
        <v>230</v>
      </c>
      <c r="J16" s="105">
        <v>43.9</v>
      </c>
      <c r="K16" s="110">
        <v>48.6</v>
      </c>
      <c r="M16" s="102" t="s">
        <v>221</v>
      </c>
      <c r="N16" s="104">
        <v>79.015500000000003</v>
      </c>
      <c r="O16" s="102">
        <v>77.5</v>
      </c>
      <c r="P16" s="102" t="s">
        <v>220</v>
      </c>
      <c r="Q16" s="103">
        <v>2.679128329297821</v>
      </c>
      <c r="X16" s="102" t="s">
        <v>231</v>
      </c>
      <c r="Y16" s="106">
        <f>12.1/100</f>
        <v>0.121</v>
      </c>
      <c r="Z16" s="107">
        <f>73.8/100</f>
        <v>0.73799999999999999</v>
      </c>
      <c r="AA16" s="106">
        <v>0.14037526059763725</v>
      </c>
      <c r="AF16" s="102">
        <f>158294/805901</f>
        <v>0.19641866680895048</v>
      </c>
    </row>
    <row r="17" spans="6:34" x14ac:dyDescent="0.25">
      <c r="F17" s="104" t="s">
        <v>220</v>
      </c>
      <c r="G17" s="109">
        <v>0.37846357992806751</v>
      </c>
      <c r="I17" s="105" t="s">
        <v>220</v>
      </c>
      <c r="J17" s="105">
        <v>35.5</v>
      </c>
      <c r="K17" s="105">
        <v>41.3</v>
      </c>
      <c r="M17" s="102" t="s">
        <v>232</v>
      </c>
      <c r="N17" s="102">
        <v>72.318600000000004</v>
      </c>
      <c r="O17" s="102">
        <v>19.100000000000001</v>
      </c>
      <c r="P17" s="102" t="s">
        <v>233</v>
      </c>
      <c r="Q17" s="114">
        <v>3.0088026315789476</v>
      </c>
      <c r="X17" s="102" t="s">
        <v>234</v>
      </c>
      <c r="Y17" s="106">
        <f>3.6/100</f>
        <v>3.6000000000000004E-2</v>
      </c>
      <c r="Z17" s="107">
        <f>71.7/100</f>
        <v>0.71700000000000008</v>
      </c>
      <c r="AA17" s="106">
        <v>0.24718618591750918</v>
      </c>
      <c r="AF17" s="102">
        <f>258658/281677</f>
        <v>0.91827873770311386</v>
      </c>
      <c r="AH17" s="102">
        <f>4228/281677</f>
        <v>1.5010100221175318E-2</v>
      </c>
    </row>
    <row r="18" spans="6:34" x14ac:dyDescent="0.25">
      <c r="F18" s="104" t="s">
        <v>222</v>
      </c>
      <c r="G18" s="109">
        <v>0.25127291748051722</v>
      </c>
      <c r="I18" s="105" t="s">
        <v>213</v>
      </c>
      <c r="J18" s="105">
        <v>33.9</v>
      </c>
      <c r="K18" s="105">
        <v>38</v>
      </c>
      <c r="M18" s="102" t="s">
        <v>231</v>
      </c>
      <c r="N18" s="102">
        <v>71.928299999999993</v>
      </c>
      <c r="O18" s="102">
        <v>2.4</v>
      </c>
      <c r="P18" s="102" t="s">
        <v>222</v>
      </c>
      <c r="Q18" s="103">
        <v>3.7392046332046331</v>
      </c>
      <c r="X18" s="102" t="s">
        <v>235</v>
      </c>
      <c r="Y18" s="106">
        <f>49.6/100</f>
        <v>0.496</v>
      </c>
      <c r="Z18" s="107">
        <f>50.4/100</f>
        <v>0.504</v>
      </c>
      <c r="AA18" s="106"/>
    </row>
    <row r="19" spans="6:34" x14ac:dyDescent="0.25">
      <c r="F19" s="104" t="s">
        <v>236</v>
      </c>
      <c r="G19" s="109">
        <v>0.25083329715545394</v>
      </c>
      <c r="I19" s="105" t="s">
        <v>229</v>
      </c>
      <c r="J19" s="105">
        <v>32.799999999999997</v>
      </c>
      <c r="K19" s="105">
        <v>31.5</v>
      </c>
      <c r="M19" s="102" t="s">
        <v>214</v>
      </c>
      <c r="N19" s="102">
        <v>67.556899999999999</v>
      </c>
      <c r="O19" s="102">
        <v>8.1</v>
      </c>
      <c r="P19" s="102" t="s">
        <v>232</v>
      </c>
      <c r="Q19" s="103">
        <v>3.7863141361256543</v>
      </c>
      <c r="X19" s="102" t="s">
        <v>228</v>
      </c>
      <c r="Y19" s="106">
        <f>1-Z19-AA19</f>
        <v>0.29501634899072166</v>
      </c>
      <c r="Z19" s="107">
        <v>0.41813939350880164</v>
      </c>
      <c r="AA19" s="106">
        <v>0.28684425750047676</v>
      </c>
      <c r="AF19" s="102">
        <f>4162946/4537239</f>
        <v>0.9175064394888609</v>
      </c>
      <c r="AG19" s="102">
        <f>291616/4537239</f>
        <v>6.427168593058466E-2</v>
      </c>
    </row>
    <row r="20" spans="6:34" x14ac:dyDescent="0.25">
      <c r="F20" s="104" t="s">
        <v>226</v>
      </c>
      <c r="G20" s="109">
        <v>0.22145936084130652</v>
      </c>
      <c r="I20" s="105" t="s">
        <v>215</v>
      </c>
      <c r="J20" s="105">
        <v>29.6</v>
      </c>
      <c r="K20" s="105">
        <v>31.4</v>
      </c>
      <c r="M20" s="102" t="s">
        <v>224</v>
      </c>
      <c r="N20" s="102">
        <v>66.679599999999994</v>
      </c>
      <c r="O20" s="102">
        <v>59.2</v>
      </c>
      <c r="P20" s="102" t="s">
        <v>215</v>
      </c>
      <c r="Q20" s="103">
        <v>4.1492993630573256</v>
      </c>
      <c r="X20" s="102" t="s">
        <v>229</v>
      </c>
      <c r="Y20" s="106">
        <f>39.3/100</f>
        <v>0.39299999999999996</v>
      </c>
      <c r="Z20" s="107">
        <f>41.1/100</f>
        <v>0.41100000000000003</v>
      </c>
      <c r="AA20" s="106">
        <v>0.19641866680895048</v>
      </c>
    </row>
    <row r="21" spans="6:34" x14ac:dyDescent="0.25">
      <c r="F21" s="104" t="s">
        <v>237</v>
      </c>
      <c r="G21" s="109">
        <v>0.14384028054608317</v>
      </c>
      <c r="I21" s="105" t="s">
        <v>228</v>
      </c>
      <c r="J21" s="105">
        <v>24.7</v>
      </c>
      <c r="K21" s="105">
        <v>27.1</v>
      </c>
      <c r="M21" s="102" t="s">
        <v>229</v>
      </c>
      <c r="N21" s="102">
        <v>66.564700000000002</v>
      </c>
      <c r="O21" s="102">
        <v>31.5</v>
      </c>
      <c r="P21" s="102" t="s">
        <v>226</v>
      </c>
      <c r="Q21" s="103">
        <v>4.8568780487804881</v>
      </c>
      <c r="X21" s="102" t="s">
        <v>238</v>
      </c>
      <c r="Y21" s="106">
        <f>1-Z21</f>
        <v>0.63553943789664546</v>
      </c>
      <c r="Z21" s="107">
        <v>0.36446056210335448</v>
      </c>
      <c r="AA21" s="106"/>
      <c r="AG21" s="102">
        <f>5752/300821</f>
        <v>1.9121005514907537E-2</v>
      </c>
    </row>
    <row r="22" spans="6:34" x14ac:dyDescent="0.25">
      <c r="F22" s="104" t="s">
        <v>239</v>
      </c>
      <c r="G22" s="109">
        <v>7.7603781477063816E-2</v>
      </c>
      <c r="I22" s="105" t="s">
        <v>222</v>
      </c>
      <c r="J22" s="105">
        <v>24.3</v>
      </c>
      <c r="K22" s="105">
        <v>25.9</v>
      </c>
      <c r="M22" s="102" t="s">
        <v>216</v>
      </c>
      <c r="N22" s="102">
        <v>64.896299999999997</v>
      </c>
      <c r="O22" s="102">
        <v>87.3</v>
      </c>
      <c r="P22" s="102" t="s">
        <v>213</v>
      </c>
      <c r="Q22" s="103">
        <v>5.7427631578947365</v>
      </c>
      <c r="X22" s="102" t="s">
        <v>240</v>
      </c>
      <c r="Y22" s="106">
        <f>66.8/100</f>
        <v>0.66799999999999993</v>
      </c>
      <c r="Z22" s="107">
        <f>33.1/100</f>
        <v>0.33100000000000002</v>
      </c>
      <c r="AA22" s="106">
        <v>0</v>
      </c>
      <c r="AG22" s="102">
        <f>13814/55885</f>
        <v>0.24718618591750918</v>
      </c>
    </row>
    <row r="23" spans="6:34" x14ac:dyDescent="0.25">
      <c r="F23" s="104" t="s">
        <v>217</v>
      </c>
      <c r="G23" s="109">
        <v>5.876264158532031E-2</v>
      </c>
      <c r="I23" s="105" t="s">
        <v>232</v>
      </c>
      <c r="J23" s="105">
        <v>17.5</v>
      </c>
      <c r="K23" s="105">
        <v>19.100000000000001</v>
      </c>
      <c r="M23" s="102" t="s">
        <v>238</v>
      </c>
      <c r="N23" s="102">
        <v>61.299199999999999</v>
      </c>
      <c r="O23" s="102">
        <v>4.7</v>
      </c>
      <c r="P23" s="102" t="s">
        <v>214</v>
      </c>
      <c r="Q23" s="103">
        <v>8.3403580246913585</v>
      </c>
      <c r="X23" s="102" t="s">
        <v>241</v>
      </c>
      <c r="Y23" s="102">
        <v>0.9</v>
      </c>
      <c r="Z23" s="107">
        <v>0.1</v>
      </c>
      <c r="AA23" s="106"/>
    </row>
    <row r="24" spans="6:34" x14ac:dyDescent="0.25">
      <c r="F24" s="104" t="s">
        <v>238</v>
      </c>
      <c r="G24" s="109">
        <v>4.2873373491393169E-2</v>
      </c>
      <c r="I24" s="105" t="s">
        <v>226</v>
      </c>
      <c r="J24" s="105">
        <v>15.6</v>
      </c>
      <c r="K24" s="105">
        <v>16.399999999999999</v>
      </c>
      <c r="M24" s="102" t="s">
        <v>210</v>
      </c>
      <c r="N24" s="106">
        <v>55.413699999999999</v>
      </c>
      <c r="O24" s="102">
        <v>110.7</v>
      </c>
      <c r="P24" s="102" t="s">
        <v>217</v>
      </c>
      <c r="Q24" s="103">
        <v>8.8053225806451625</v>
      </c>
      <c r="X24" s="102" t="s">
        <v>227</v>
      </c>
      <c r="Y24" s="106"/>
      <c r="Z24" s="107"/>
      <c r="AA24" s="106"/>
      <c r="AG24" s="102">
        <f>2847/23169</f>
        <v>0.12287970995727049</v>
      </c>
    </row>
    <row r="25" spans="6:34" x14ac:dyDescent="0.25">
      <c r="F25" s="104" t="s">
        <v>241</v>
      </c>
      <c r="G25" s="109">
        <v>3.5000000000000003E-2</v>
      </c>
      <c r="I25" s="105" t="s">
        <v>233</v>
      </c>
      <c r="J25" s="105">
        <v>15.6</v>
      </c>
      <c r="K25" s="105">
        <v>15.2</v>
      </c>
      <c r="M25" s="102" t="s">
        <v>217</v>
      </c>
      <c r="N25" s="102">
        <v>54.593000000000004</v>
      </c>
      <c r="O25" s="102">
        <v>6.2</v>
      </c>
      <c r="P25" s="102" t="s">
        <v>238</v>
      </c>
      <c r="Q25" s="103">
        <v>13.042382978723403</v>
      </c>
      <c r="X25" s="102" t="s">
        <v>210</v>
      </c>
      <c r="Y25" s="106"/>
      <c r="Z25" s="107"/>
      <c r="AA25" s="106"/>
    </row>
    <row r="26" spans="6:34" x14ac:dyDescent="0.25">
      <c r="F26" s="104" t="s">
        <v>231</v>
      </c>
      <c r="G26" s="109">
        <v>3.4648231930500414E-2</v>
      </c>
      <c r="I26" s="105" t="s">
        <v>214</v>
      </c>
      <c r="J26" s="105">
        <v>6.8</v>
      </c>
      <c r="K26" s="105">
        <v>8.1</v>
      </c>
      <c r="M26" s="102" t="s">
        <v>228</v>
      </c>
      <c r="N26" s="102">
        <v>54.059199999999997</v>
      </c>
      <c r="O26" s="102">
        <v>27.1</v>
      </c>
      <c r="P26" s="102" t="s">
        <v>240</v>
      </c>
      <c r="Q26" s="103">
        <v>25.505352941176469</v>
      </c>
    </row>
    <row r="27" spans="6:34" x14ac:dyDescent="0.25">
      <c r="F27" s="104" t="s">
        <v>240</v>
      </c>
      <c r="G27" s="109">
        <v>2.6599382052022627E-2</v>
      </c>
      <c r="I27" s="105" t="s">
        <v>217</v>
      </c>
      <c r="J27" s="105">
        <v>6.1</v>
      </c>
      <c r="K27" s="105">
        <v>6.2</v>
      </c>
      <c r="M27" s="104" t="s">
        <v>241</v>
      </c>
      <c r="N27" s="102">
        <v>48.2</v>
      </c>
      <c r="O27" s="102">
        <v>3.6</v>
      </c>
      <c r="P27" s="102" t="s">
        <v>234</v>
      </c>
      <c r="Q27" s="103">
        <v>25.741611111111109</v>
      </c>
    </row>
    <row r="28" spans="6:34" x14ac:dyDescent="0.25">
      <c r="F28" s="104" t="s">
        <v>242</v>
      </c>
      <c r="G28" s="109">
        <v>1.3548455713146676E-2</v>
      </c>
      <c r="I28" s="105" t="s">
        <v>238</v>
      </c>
      <c r="J28" s="105">
        <v>3.4</v>
      </c>
      <c r="K28" s="105">
        <v>4.7</v>
      </c>
      <c r="M28" s="102" t="s">
        <v>234</v>
      </c>
      <c r="N28" s="102">
        <v>46.334899999999998</v>
      </c>
      <c r="O28" s="102">
        <v>1.8</v>
      </c>
      <c r="P28" s="102" t="s">
        <v>231</v>
      </c>
      <c r="Q28" s="103">
        <v>29.970124999999999</v>
      </c>
    </row>
    <row r="29" spans="6:34" x14ac:dyDescent="0.25">
      <c r="I29" s="104" t="s">
        <v>241</v>
      </c>
      <c r="J29" s="104">
        <v>3.3</v>
      </c>
      <c r="K29" s="104">
        <v>3.6</v>
      </c>
      <c r="L29" s="104">
        <v>3.5</v>
      </c>
      <c r="M29" s="102" t="s">
        <v>233</v>
      </c>
      <c r="N29" s="102">
        <v>45.733800000000002</v>
      </c>
      <c r="O29" s="102">
        <v>15.2</v>
      </c>
    </row>
    <row r="30" spans="6:34" x14ac:dyDescent="0.25">
      <c r="I30" s="105" t="s">
        <v>231</v>
      </c>
      <c r="J30" s="105">
        <v>2.2999999999999998</v>
      </c>
      <c r="K30" s="105">
        <v>2.4</v>
      </c>
      <c r="M30" s="102" t="s">
        <v>240</v>
      </c>
      <c r="N30" s="102">
        <v>43.359099999999998</v>
      </c>
      <c r="O30" s="102">
        <v>1.7</v>
      </c>
    </row>
    <row r="31" spans="6:34" x14ac:dyDescent="0.25">
      <c r="I31" s="105" t="s">
        <v>234</v>
      </c>
      <c r="J31" s="105">
        <v>1.8</v>
      </c>
      <c r="K31" s="105">
        <v>1.8</v>
      </c>
      <c r="X31" s="102">
        <v>2370888</v>
      </c>
      <c r="Y31" s="102">
        <v>242565</v>
      </c>
      <c r="Z31" s="102">
        <v>2128323</v>
      </c>
    </row>
    <row r="32" spans="6:34" x14ac:dyDescent="0.25">
      <c r="I32" s="105" t="s">
        <v>240</v>
      </c>
      <c r="J32" s="105">
        <v>1.4</v>
      </c>
      <c r="K32" s="105">
        <v>1.7</v>
      </c>
      <c r="Z32" s="107">
        <f>Z31/X31</f>
        <v>0.89769023252047331</v>
      </c>
    </row>
    <row r="35" spans="9:25" x14ac:dyDescent="0.25">
      <c r="X35" s="102" t="s">
        <v>243</v>
      </c>
      <c r="Y35" s="106">
        <v>316463</v>
      </c>
    </row>
    <row r="37" spans="9:25" x14ac:dyDescent="0.25">
      <c r="L37" s="102" t="s">
        <v>244</v>
      </c>
    </row>
    <row r="39" spans="9:25" x14ac:dyDescent="0.25">
      <c r="J39" s="102">
        <v>2016</v>
      </c>
      <c r="K39" s="102">
        <v>2017</v>
      </c>
    </row>
    <row r="40" spans="9:25" x14ac:dyDescent="0.25">
      <c r="I40" s="102" t="s">
        <v>245</v>
      </c>
    </row>
    <row r="41" spans="9:25" x14ac:dyDescent="0.25">
      <c r="I41" s="102" t="s">
        <v>246</v>
      </c>
    </row>
    <row r="42" spans="9:25" x14ac:dyDescent="0.25">
      <c r="I42" s="102" t="s">
        <v>247</v>
      </c>
    </row>
    <row r="43" spans="9:25" x14ac:dyDescent="0.25">
      <c r="I43" s="102" t="s">
        <v>248</v>
      </c>
    </row>
    <row r="44" spans="9:25" x14ac:dyDescent="0.25">
      <c r="I44" s="102" t="s">
        <v>249</v>
      </c>
    </row>
    <row r="45" spans="9:25" x14ac:dyDescent="0.25">
      <c r="I45" s="102" t="s">
        <v>250</v>
      </c>
    </row>
    <row r="46" spans="9:25" x14ac:dyDescent="0.25">
      <c r="I46" s="102" t="s">
        <v>251</v>
      </c>
    </row>
    <row r="47" spans="9:25" x14ac:dyDescent="0.25">
      <c r="I47" s="102" t="s">
        <v>252</v>
      </c>
    </row>
    <row r="48" spans="9:25" x14ac:dyDescent="0.25">
      <c r="I48" s="102" t="s">
        <v>253</v>
      </c>
    </row>
    <row r="49" spans="9:28" x14ac:dyDescent="0.25">
      <c r="I49" s="102" t="s">
        <v>254</v>
      </c>
    </row>
    <row r="50" spans="9:28" x14ac:dyDescent="0.25">
      <c r="I50" s="102" t="s">
        <v>255</v>
      </c>
    </row>
    <row r="51" spans="9:28" x14ac:dyDescent="0.25">
      <c r="I51" s="102" t="s">
        <v>256</v>
      </c>
    </row>
    <row r="52" spans="9:28" x14ac:dyDescent="0.25">
      <c r="I52" s="102" t="s">
        <v>257</v>
      </c>
    </row>
    <row r="53" spans="9:28" x14ac:dyDescent="0.25">
      <c r="I53" s="102" t="s">
        <v>258</v>
      </c>
    </row>
    <row r="54" spans="9:28" x14ac:dyDescent="0.25">
      <c r="I54" s="102" t="s">
        <v>259</v>
      </c>
    </row>
    <row r="55" spans="9:28" x14ac:dyDescent="0.25">
      <c r="I55" s="102" t="s">
        <v>260</v>
      </c>
    </row>
    <row r="56" spans="9:28" x14ac:dyDescent="0.25">
      <c r="I56" s="102" t="s">
        <v>261</v>
      </c>
    </row>
    <row r="57" spans="9:28" x14ac:dyDescent="0.25">
      <c r="I57" s="102" t="s">
        <v>262</v>
      </c>
    </row>
    <row r="58" spans="9:28" x14ac:dyDescent="0.25">
      <c r="I58" s="102" t="s">
        <v>263</v>
      </c>
    </row>
    <row r="59" spans="9:28" x14ac:dyDescent="0.25">
      <c r="I59" s="102" t="s">
        <v>264</v>
      </c>
    </row>
    <row r="60" spans="9:28" x14ac:dyDescent="0.25">
      <c r="I60" s="102" t="s">
        <v>265</v>
      </c>
    </row>
    <row r="61" spans="9:28" x14ac:dyDescent="0.25">
      <c r="I61" s="102" t="s">
        <v>266</v>
      </c>
    </row>
    <row r="62" spans="9:28" x14ac:dyDescent="0.25">
      <c r="I62" s="102" t="s">
        <v>267</v>
      </c>
    </row>
    <row r="63" spans="9:28" x14ac:dyDescent="0.25">
      <c r="I63" s="102" t="s">
        <v>268</v>
      </c>
      <c r="K63" s="102">
        <f>K68/H68</f>
        <v>1.1245566421805839</v>
      </c>
      <c r="O63" s="102">
        <f>O68/K68</f>
        <v>1.0926336402914865</v>
      </c>
      <c r="S63" s="102">
        <f>S68/O68</f>
        <v>1.1318294608246859</v>
      </c>
      <c r="X63" s="102">
        <f>W68/S68</f>
        <v>1.1060041824810931</v>
      </c>
      <c r="AB63" s="102">
        <f>AA68/W68</f>
        <v>1.1165706792669627</v>
      </c>
    </row>
    <row r="64" spans="9:28" x14ac:dyDescent="0.25">
      <c r="I64" s="102" t="s">
        <v>212</v>
      </c>
    </row>
    <row r="67" spans="6:31" x14ac:dyDescent="0.25">
      <c r="H67" s="102" t="s">
        <v>269</v>
      </c>
      <c r="I67" s="102" t="s">
        <v>270</v>
      </c>
      <c r="J67" s="115">
        <v>42004</v>
      </c>
      <c r="K67" s="115" t="s">
        <v>271</v>
      </c>
      <c r="L67" s="115" t="s">
        <v>272</v>
      </c>
      <c r="M67" s="115">
        <v>42277</v>
      </c>
      <c r="N67" s="115">
        <v>42369</v>
      </c>
      <c r="O67" s="115" t="s">
        <v>273</v>
      </c>
      <c r="P67" s="115" t="s">
        <v>274</v>
      </c>
      <c r="Q67" s="115">
        <v>42643</v>
      </c>
      <c r="R67" s="115">
        <v>42735</v>
      </c>
      <c r="S67" s="102" t="s">
        <v>275</v>
      </c>
      <c r="T67" s="102" t="s">
        <v>276</v>
      </c>
      <c r="U67" s="115">
        <v>43008</v>
      </c>
      <c r="V67" s="102" t="s">
        <v>277</v>
      </c>
      <c r="W67" s="115">
        <v>43190</v>
      </c>
      <c r="X67" s="115">
        <v>43281</v>
      </c>
      <c r="Y67" s="115">
        <v>43373</v>
      </c>
      <c r="Z67" s="115">
        <v>43465</v>
      </c>
      <c r="AA67" s="115">
        <v>43555</v>
      </c>
      <c r="AB67" s="115">
        <v>43646</v>
      </c>
    </row>
    <row r="68" spans="6:31" x14ac:dyDescent="0.25">
      <c r="F68" s="102" t="s">
        <v>0</v>
      </c>
      <c r="G68" s="102" t="s">
        <v>278</v>
      </c>
      <c r="H68" s="116">
        <v>2181279.9</v>
      </c>
      <c r="I68" s="116">
        <v>2265093.9</v>
      </c>
      <c r="J68" s="116">
        <v>2408876.1</v>
      </c>
      <c r="K68" s="116">
        <v>2452972.7999999998</v>
      </c>
      <c r="L68" s="116">
        <v>2538942.7999999998</v>
      </c>
      <c r="M68" s="116">
        <v>2560322.5</v>
      </c>
      <c r="N68" s="116">
        <v>2674997</v>
      </c>
      <c r="O68" s="116">
        <v>2680200.6</v>
      </c>
      <c r="P68" s="116">
        <v>2618125.1</v>
      </c>
      <c r="Q68" s="116">
        <v>2675068.2999999998</v>
      </c>
      <c r="R68" s="117">
        <v>2835195.3</v>
      </c>
      <c r="S68" s="117">
        <v>3033530</v>
      </c>
      <c r="T68" s="117">
        <v>2955539</v>
      </c>
      <c r="U68" s="117">
        <v>3036162.7</v>
      </c>
      <c r="V68" s="117">
        <v>3309166.8</v>
      </c>
      <c r="W68" s="117">
        <v>3355096.8676818702</v>
      </c>
      <c r="X68" s="117">
        <v>3447038.845664137</v>
      </c>
      <c r="Y68" s="117">
        <v>3555383.852018855</v>
      </c>
      <c r="Z68" s="117">
        <v>3665545.9961449476</v>
      </c>
      <c r="AA68" s="117">
        <v>3746202.7885540049</v>
      </c>
      <c r="AB68" s="102">
        <v>3946037.3963582856</v>
      </c>
      <c r="AD68" s="102">
        <f>AA68/H68</f>
        <v>1.7174333236894563</v>
      </c>
    </row>
    <row r="69" spans="6:31" x14ac:dyDescent="0.25">
      <c r="F69" s="102" t="s">
        <v>279</v>
      </c>
      <c r="G69" s="102" t="s">
        <v>280</v>
      </c>
      <c r="H69" s="102">
        <v>3.2</v>
      </c>
      <c r="I69" s="102">
        <v>3.2</v>
      </c>
      <c r="J69" s="102">
        <v>3.4</v>
      </c>
      <c r="K69" s="102">
        <v>3.4</v>
      </c>
      <c r="L69" s="102">
        <v>3.5</v>
      </c>
      <c r="M69" s="102">
        <v>3.5</v>
      </c>
      <c r="N69" s="102">
        <v>3.3</v>
      </c>
      <c r="O69" s="102">
        <v>3.3</v>
      </c>
      <c r="P69" s="102">
        <v>3.2</v>
      </c>
      <c r="Q69" s="102">
        <v>3.2</v>
      </c>
      <c r="R69" s="117">
        <v>3.3</v>
      </c>
      <c r="S69" s="117">
        <v>3.5</v>
      </c>
      <c r="T69" s="117">
        <v>3.3</v>
      </c>
      <c r="U69" s="117">
        <v>3.4</v>
      </c>
      <c r="V69" s="117">
        <v>3.6</v>
      </c>
      <c r="W69" s="117">
        <v>3.6165509311193813</v>
      </c>
      <c r="X69" s="117">
        <v>3.5706438942244305</v>
      </c>
      <c r="Y69" s="117">
        <v>3.5697813288908051</v>
      </c>
      <c r="Z69" s="117">
        <v>3.53726482023378</v>
      </c>
      <c r="AA69" s="117">
        <v>3.5366616051778501</v>
      </c>
      <c r="AB69" s="102">
        <v>3.6779506074065234</v>
      </c>
    </row>
    <row r="70" spans="6:31" x14ac:dyDescent="0.25">
      <c r="F70" s="102" t="s">
        <v>281</v>
      </c>
      <c r="G70" s="102" t="s">
        <v>1</v>
      </c>
      <c r="H70" s="116">
        <v>1972813.1</v>
      </c>
      <c r="I70" s="116">
        <v>2048451.2</v>
      </c>
      <c r="J70" s="116">
        <v>2123673</v>
      </c>
      <c r="K70" s="116">
        <v>2202217.6</v>
      </c>
      <c r="L70" s="116">
        <v>2276520.4</v>
      </c>
      <c r="M70" s="116">
        <v>2303928.9</v>
      </c>
      <c r="N70" s="116">
        <v>2381953.6</v>
      </c>
      <c r="O70" s="116">
        <v>2430168.9</v>
      </c>
      <c r="P70" s="116">
        <v>2394961.4</v>
      </c>
      <c r="Q70" s="116">
        <v>2447828</v>
      </c>
      <c r="R70" s="117">
        <v>2579909.7999999998</v>
      </c>
      <c r="S70" s="117">
        <v>2728774.1</v>
      </c>
      <c r="T70" s="117">
        <v>2653828.7999999998</v>
      </c>
      <c r="U70" s="117">
        <v>2713989.6</v>
      </c>
      <c r="V70" s="117">
        <v>2936651.3</v>
      </c>
      <c r="W70" s="117">
        <v>3015944.3277323614</v>
      </c>
      <c r="X70" s="117">
        <v>3107103.2726624021</v>
      </c>
      <c r="Y70" s="117">
        <v>3189556.8737634919</v>
      </c>
      <c r="Z70" s="117">
        <v>3341756.8028003699</v>
      </c>
      <c r="AA70" s="117">
        <v>3485742.0816374309</v>
      </c>
    </row>
    <row r="72" spans="6:31" x14ac:dyDescent="0.25">
      <c r="H72" s="116">
        <v>1859576.3</v>
      </c>
      <c r="I72" s="116">
        <v>1933704.2</v>
      </c>
      <c r="J72" s="116">
        <v>2016915.6</v>
      </c>
      <c r="K72" s="116">
        <v>2091822.3</v>
      </c>
      <c r="L72" s="116">
        <v>2166708.5</v>
      </c>
      <c r="M72" s="116">
        <v>2188556.7000000002</v>
      </c>
      <c r="N72" s="116">
        <v>2248732.5</v>
      </c>
      <c r="O72" s="116">
        <v>2298389.7999999998</v>
      </c>
      <c r="P72" s="116">
        <v>2261602.5</v>
      </c>
      <c r="Q72" s="116">
        <v>2306345</v>
      </c>
      <c r="R72" s="116">
        <v>2430956</v>
      </c>
      <c r="S72" s="116">
        <v>2569124.2000000002</v>
      </c>
      <c r="T72" s="116">
        <v>2471407.5</v>
      </c>
      <c r="U72" s="116">
        <v>2503398.3999999999</v>
      </c>
      <c r="V72" s="116">
        <v>2698568.8</v>
      </c>
      <c r="W72" s="118">
        <v>0.90664897393176447</v>
      </c>
      <c r="X72" s="118">
        <v>0.89413731946190411</v>
      </c>
      <c r="Y72" s="118">
        <v>0.89116444992586363</v>
      </c>
      <c r="Z72" s="118">
        <v>0.89598104392854749</v>
      </c>
      <c r="AA72" s="118">
        <v>0.89454593605675881</v>
      </c>
      <c r="AE72" s="102">
        <f>AA68/W68</f>
        <v>1.1165706792669627</v>
      </c>
    </row>
    <row r="73" spans="6:31" x14ac:dyDescent="0.25">
      <c r="H73" s="118">
        <f>H72/H70</f>
        <v>0.94260135438070636</v>
      </c>
      <c r="I73" s="118">
        <f t="shared" ref="I73:L73" si="0">I72/I70</f>
        <v>0.9439835325342385</v>
      </c>
      <c r="J73" s="118">
        <f t="shared" si="0"/>
        <v>0.94972983128758526</v>
      </c>
      <c r="K73" s="118">
        <f t="shared" si="0"/>
        <v>0.94987084836666458</v>
      </c>
      <c r="L73" s="118">
        <f t="shared" si="0"/>
        <v>0.95176326994478067</v>
      </c>
      <c r="M73" s="118">
        <f>M72/M70</f>
        <v>0.94992371509381224</v>
      </c>
      <c r="N73" s="118">
        <f t="shared" ref="N73:Q73" si="1">N72/N70</f>
        <v>0.94407065695990044</v>
      </c>
      <c r="O73" s="118">
        <f t="shared" si="1"/>
        <v>0.94577368675897378</v>
      </c>
      <c r="P73" s="118">
        <f t="shared" si="1"/>
        <v>0.94431688961667615</v>
      </c>
      <c r="Q73" s="118">
        <f t="shared" si="1"/>
        <v>0.94220059579349524</v>
      </c>
      <c r="R73" s="118">
        <f>R72/R70</f>
        <v>0.94226395046834588</v>
      </c>
      <c r="S73" s="118">
        <f t="shared" ref="S73" si="2">S72/S70</f>
        <v>0.94149391113027647</v>
      </c>
      <c r="T73" s="118">
        <f>T72/T70</f>
        <v>0.93126108963773402</v>
      </c>
      <c r="U73" s="118">
        <f>U72/U70</f>
        <v>0.92240530324803005</v>
      </c>
      <c r="V73" s="118">
        <f>V72/V70</f>
        <v>0.91892721481777562</v>
      </c>
      <c r="AE73" s="102">
        <f>AA68/S68</f>
        <v>1.2349318413050159</v>
      </c>
    </row>
    <row r="74" spans="6:31" x14ac:dyDescent="0.25">
      <c r="AE74" s="102">
        <f>AA68/R68</f>
        <v>1.3213208940329455</v>
      </c>
    </row>
    <row r="75" spans="6:31" x14ac:dyDescent="0.25">
      <c r="AA75" s="119">
        <f>AA72-S73</f>
        <v>-4.6947975073517667E-2</v>
      </c>
    </row>
    <row r="76" spans="6:31" x14ac:dyDescent="0.25">
      <c r="R76" s="116">
        <v>130805.2</v>
      </c>
      <c r="S76" s="116">
        <v>141072.1</v>
      </c>
      <c r="T76" s="116">
        <v>162800.70000000001</v>
      </c>
      <c r="U76" s="116">
        <v>190523</v>
      </c>
      <c r="V76" s="116">
        <v>217828.3</v>
      </c>
    </row>
    <row r="78" spans="6:31" x14ac:dyDescent="0.25">
      <c r="R78" s="118">
        <f>R76/R70</f>
        <v>5.0701462508495457E-2</v>
      </c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5:AH23"/>
  <sheetViews>
    <sheetView topLeftCell="E16" zoomScale="85" zoomScaleNormal="85" workbookViewId="0">
      <selection activeCell="AD24" sqref="AD24"/>
    </sheetView>
  </sheetViews>
  <sheetFormatPr defaultRowHeight="15" x14ac:dyDescent="0.25"/>
  <cols>
    <col min="1" max="8" width="9.140625" style="102"/>
    <col min="9" max="9" width="4" style="102" customWidth="1"/>
    <col min="10" max="10" width="11.85546875" style="102" customWidth="1"/>
    <col min="11" max="11" width="9.140625" style="102"/>
    <col min="12" max="34" width="10.140625" style="102" bestFit="1" customWidth="1"/>
    <col min="35" max="16384" width="9.140625" style="102"/>
  </cols>
  <sheetData>
    <row r="5" spans="11:30" x14ac:dyDescent="0.25">
      <c r="L5" s="115">
        <v>41820</v>
      </c>
      <c r="M5" s="115">
        <v>41912</v>
      </c>
      <c r="N5" s="115">
        <v>42004</v>
      </c>
      <c r="O5" s="115">
        <v>42094</v>
      </c>
      <c r="P5" s="115">
        <v>42185</v>
      </c>
      <c r="Q5" s="115">
        <v>42277</v>
      </c>
      <c r="R5" s="115">
        <v>42369</v>
      </c>
      <c r="S5" s="115">
        <v>42460</v>
      </c>
      <c r="T5" s="115">
        <v>42551</v>
      </c>
      <c r="U5" s="115">
        <v>42643</v>
      </c>
      <c r="V5" s="115">
        <v>42735</v>
      </c>
      <c r="W5" s="115">
        <v>42825</v>
      </c>
      <c r="X5" s="115">
        <v>42916</v>
      </c>
      <c r="Y5" s="115">
        <v>43008</v>
      </c>
      <c r="Z5" s="115">
        <v>43100</v>
      </c>
      <c r="AA5" s="115">
        <v>43190</v>
      </c>
      <c r="AB5" s="115">
        <v>43281</v>
      </c>
      <c r="AC5" s="115">
        <v>43373</v>
      </c>
      <c r="AD5" s="115">
        <v>43465</v>
      </c>
    </row>
    <row r="6" spans="11:30" x14ac:dyDescent="0.25">
      <c r="K6" s="102" t="s">
        <v>282</v>
      </c>
    </row>
    <row r="7" spans="11:30" x14ac:dyDescent="0.25">
      <c r="K7" s="102" t="s">
        <v>283</v>
      </c>
    </row>
    <row r="8" spans="11:30" x14ac:dyDescent="0.25">
      <c r="K8" s="102" t="s">
        <v>284</v>
      </c>
      <c r="L8" s="102" t="e">
        <f>(L20/H20)-1</f>
        <v>#VALUE!</v>
      </c>
      <c r="M8" s="102">
        <f t="shared" ref="M8:AC8" si="0">(M20/L20)-1</f>
        <v>-3.0399063868497E-3</v>
      </c>
      <c r="N8" s="102">
        <f t="shared" si="0"/>
        <v>-0.10058486433065106</v>
      </c>
      <c r="O8" s="102">
        <f t="shared" si="0"/>
        <v>5.7895396553360179E-2</v>
      </c>
      <c r="P8" s="102">
        <f t="shared" si="0"/>
        <v>4.2245021122511162E-3</v>
      </c>
      <c r="Q8" s="102">
        <f t="shared" si="0"/>
        <v>5.7834553634438901E-2</v>
      </c>
      <c r="R8" s="102">
        <f t="shared" si="0"/>
        <v>0.14793465015651575</v>
      </c>
      <c r="S8" s="102">
        <f t="shared" si="0"/>
        <v>8.9752798418520907E-3</v>
      </c>
      <c r="T8" s="102">
        <f t="shared" si="0"/>
        <v>3.1746031746031633E-2</v>
      </c>
      <c r="U8" s="102">
        <f t="shared" si="0"/>
        <v>6.9812151900942476E-2</v>
      </c>
      <c r="V8" s="102">
        <f t="shared" si="0"/>
        <v>6.6545557133748323E-2</v>
      </c>
      <c r="W8" s="102">
        <f t="shared" si="0"/>
        <v>7.8489998868546573E-2</v>
      </c>
      <c r="X8" s="102">
        <f t="shared" si="0"/>
        <v>0.15402478590734803</v>
      </c>
      <c r="Y8" s="102">
        <f t="shared" si="0"/>
        <v>0.17028366585647348</v>
      </c>
      <c r="Z8" s="102">
        <f t="shared" si="0"/>
        <v>0.1433176046986453</v>
      </c>
      <c r="AA8" s="102">
        <f t="shared" si="0"/>
        <v>0.19036277655382716</v>
      </c>
      <c r="AB8" s="102">
        <f t="shared" si="0"/>
        <v>0.17131086751869584</v>
      </c>
      <c r="AC8" s="102">
        <f t="shared" si="0"/>
        <v>4.5287896832125529E-2</v>
      </c>
      <c r="AD8" s="102">
        <f>(AD20/AC20)-1</f>
        <v>-6.6645814256685032E-3</v>
      </c>
    </row>
    <row r="9" spans="11:30" x14ac:dyDescent="0.25">
      <c r="K9" s="102" t="s">
        <v>285</v>
      </c>
    </row>
    <row r="11" spans="11:30" x14ac:dyDescent="0.25">
      <c r="L11" s="120">
        <v>2014</v>
      </c>
      <c r="M11" s="120">
        <v>2015</v>
      </c>
      <c r="N11" s="120">
        <v>2016</v>
      </c>
      <c r="O11" s="120">
        <v>2017</v>
      </c>
      <c r="P11" s="120">
        <v>2018</v>
      </c>
    </row>
    <row r="12" spans="11:30" x14ac:dyDescent="0.25">
      <c r="K12" s="102" t="s">
        <v>282</v>
      </c>
      <c r="L12" s="118">
        <f>N19/J19-1</f>
        <v>0.99497393440797355</v>
      </c>
      <c r="M12" s="118">
        <f>R19/N19-1</f>
        <v>0.37234822434332782</v>
      </c>
      <c r="N12" s="118">
        <f>V19/R19-1</f>
        <v>1.9349992436876517</v>
      </c>
      <c r="O12" s="118">
        <f>Z19/V19-1</f>
        <v>0.11740979979799682</v>
      </c>
      <c r="P12" s="118">
        <f>AD19/Z19-1</f>
        <v>8.2728680971742019E-2</v>
      </c>
    </row>
    <row r="13" spans="11:30" x14ac:dyDescent="0.25">
      <c r="K13" s="102" t="s">
        <v>286</v>
      </c>
      <c r="L13" s="121">
        <v>8.1000000000000003E-2</v>
      </c>
      <c r="M13" s="121">
        <v>0.10199999999999999</v>
      </c>
      <c r="N13" s="121">
        <v>8.4000000000000005E-2</v>
      </c>
      <c r="O13" s="122">
        <v>7.0000000000000007E-2</v>
      </c>
      <c r="P13" s="121">
        <v>6.2E-2</v>
      </c>
    </row>
    <row r="14" spans="11:30" x14ac:dyDescent="0.25">
      <c r="K14" s="102" t="s">
        <v>284</v>
      </c>
      <c r="M14" s="118">
        <f>R20/N20-1</f>
        <v>0.29005567901335794</v>
      </c>
      <c r="N14" s="118">
        <f>V20/R20-1</f>
        <v>0.18779165800224651</v>
      </c>
      <c r="O14" s="118">
        <f>Z20/V20-1</f>
        <v>0.66528777143416318</v>
      </c>
      <c r="P14" s="118">
        <f>AD20/Z20-1</f>
        <v>0.44771593039104651</v>
      </c>
    </row>
    <row r="15" spans="11:30" x14ac:dyDescent="0.25">
      <c r="K15" s="102" t="s">
        <v>287</v>
      </c>
      <c r="L15" s="121">
        <v>3.9E-2</v>
      </c>
      <c r="M15" s="121">
        <v>0.27300000000000002</v>
      </c>
      <c r="N15" s="121">
        <v>5.5E-2</v>
      </c>
      <c r="O15" s="121">
        <v>9.4E-2</v>
      </c>
      <c r="P15" s="121">
        <v>7.2999999999999995E-2</v>
      </c>
    </row>
    <row r="18" spans="8:34" x14ac:dyDescent="0.25">
      <c r="J18" s="115">
        <v>41639</v>
      </c>
      <c r="L18" s="115">
        <v>41820</v>
      </c>
      <c r="M18" s="115">
        <v>41912</v>
      </c>
      <c r="N18" s="115">
        <v>42004</v>
      </c>
      <c r="O18" s="115">
        <v>42094</v>
      </c>
      <c r="P18" s="115">
        <v>42185</v>
      </c>
      <c r="Q18" s="115">
        <v>42277</v>
      </c>
      <c r="R18" s="115">
        <v>42369</v>
      </c>
      <c r="S18" s="115">
        <v>42460</v>
      </c>
      <c r="T18" s="115">
        <v>42551</v>
      </c>
      <c r="U18" s="115">
        <v>42643</v>
      </c>
      <c r="V18" s="115">
        <v>42735</v>
      </c>
      <c r="W18" s="115">
        <v>42825</v>
      </c>
      <c r="X18" s="115">
        <v>42916</v>
      </c>
      <c r="Y18" s="115">
        <v>43008</v>
      </c>
      <c r="Z18" s="115">
        <v>43100</v>
      </c>
      <c r="AA18" s="115">
        <v>43190</v>
      </c>
      <c r="AB18" s="115">
        <v>43281</v>
      </c>
      <c r="AC18" s="115">
        <v>43373</v>
      </c>
      <c r="AD18" s="115">
        <v>43465</v>
      </c>
      <c r="AE18" s="115"/>
      <c r="AF18" s="115"/>
      <c r="AG18" s="115"/>
      <c r="AH18" s="115"/>
    </row>
    <row r="19" spans="8:34" x14ac:dyDescent="0.25">
      <c r="H19" s="102" t="s">
        <v>288</v>
      </c>
      <c r="J19" s="102">
        <v>2298816</v>
      </c>
      <c r="N19" s="102">
        <v>4586078</v>
      </c>
      <c r="R19" s="102">
        <v>6293696</v>
      </c>
      <c r="V19" s="102">
        <v>18471993</v>
      </c>
      <c r="Z19" s="102">
        <v>20640786</v>
      </c>
      <c r="AD19" s="102">
        <v>22348371</v>
      </c>
    </row>
    <row r="20" spans="8:34" x14ac:dyDescent="0.25">
      <c r="H20" s="102" t="s">
        <v>289</v>
      </c>
      <c r="L20" s="116">
        <v>95200.3</v>
      </c>
      <c r="M20" s="116">
        <v>94910.9</v>
      </c>
      <c r="N20" s="116">
        <v>85364.3</v>
      </c>
      <c r="O20" s="116">
        <v>90306.5</v>
      </c>
      <c r="P20" s="116">
        <v>90688</v>
      </c>
      <c r="Q20" s="116">
        <v>95932.9</v>
      </c>
      <c r="R20" s="116">
        <v>110124.7</v>
      </c>
      <c r="S20" s="116">
        <v>111113.1</v>
      </c>
      <c r="T20" s="116">
        <v>114640.5</v>
      </c>
      <c r="U20" s="116">
        <v>122643.8</v>
      </c>
      <c r="V20" s="116">
        <v>130805.2</v>
      </c>
      <c r="W20" s="116">
        <v>141072.1</v>
      </c>
      <c r="X20" s="116">
        <v>162800.70000000001</v>
      </c>
      <c r="Y20" s="116">
        <v>190523</v>
      </c>
      <c r="Z20" s="116">
        <v>217828.3</v>
      </c>
      <c r="AA20" s="116">
        <v>259294.7</v>
      </c>
      <c r="AB20" s="116">
        <v>303714.7</v>
      </c>
      <c r="AC20" s="116">
        <v>317469.3</v>
      </c>
      <c r="AD20" s="116">
        <v>315353.5</v>
      </c>
    </row>
    <row r="23" spans="8:34" x14ac:dyDescent="0.25">
      <c r="AD23" s="102">
        <f>AD20/V20</f>
        <v>2.4108636353906419</v>
      </c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"/>
  <sheetViews>
    <sheetView topLeftCell="B1" zoomScale="115" zoomScaleNormal="115" workbookViewId="0">
      <selection activeCell="B1" sqref="B1"/>
    </sheetView>
  </sheetViews>
  <sheetFormatPr defaultRowHeight="15" x14ac:dyDescent="0.25"/>
  <cols>
    <col min="2" max="2" width="42.140625" customWidth="1"/>
    <col min="3" max="3" width="12.7109375" customWidth="1"/>
    <col min="4" max="4" width="12" customWidth="1"/>
    <col min="5" max="5" width="11.42578125" customWidth="1"/>
    <col min="6" max="6" width="11.28515625" customWidth="1"/>
    <col min="7" max="7" width="10.28515625" customWidth="1"/>
    <col min="8" max="8" width="9.140625" customWidth="1"/>
    <col min="9" max="9" width="10.140625" customWidth="1"/>
    <col min="10" max="10" width="9.140625" customWidth="1"/>
    <col min="11" max="11" width="10.140625" customWidth="1"/>
    <col min="13" max="13" width="11.5703125" customWidth="1"/>
    <col min="14" max="15" width="11.7109375" customWidth="1"/>
    <col min="17" max="18" width="10" customWidth="1"/>
  </cols>
  <sheetData>
    <row r="1" spans="2:22" x14ac:dyDescent="0.25">
      <c r="B1" t="s">
        <v>89</v>
      </c>
      <c r="D1" s="4"/>
      <c r="E1" s="4"/>
      <c r="F1" s="4"/>
      <c r="G1" s="4"/>
      <c r="H1" s="4"/>
      <c r="I1" s="4"/>
      <c r="J1" s="4"/>
      <c r="R1" s="4"/>
      <c r="S1" s="9"/>
      <c r="U1" s="4"/>
      <c r="V1" s="9"/>
    </row>
    <row r="2" spans="2:22" x14ac:dyDescent="0.25">
      <c r="D2" s="4"/>
      <c r="E2" s="4"/>
      <c r="F2" s="4"/>
      <c r="G2" s="4"/>
      <c r="H2" s="4"/>
      <c r="I2" s="4"/>
      <c r="J2" s="4"/>
    </row>
    <row r="3" spans="2:22" x14ac:dyDescent="0.25">
      <c r="B3" s="87" t="s">
        <v>18</v>
      </c>
    </row>
    <row r="4" spans="2:22" x14ac:dyDescent="0.25">
      <c r="B4" s="5"/>
      <c r="C4" s="88"/>
      <c r="D4" s="2" t="s">
        <v>34</v>
      </c>
      <c r="E4" s="2" t="s">
        <v>35</v>
      </c>
      <c r="F4" s="2" t="s">
        <v>36</v>
      </c>
      <c r="G4" s="2" t="s">
        <v>37</v>
      </c>
      <c r="H4" s="2" t="s">
        <v>43</v>
      </c>
      <c r="I4" s="2" t="s">
        <v>61</v>
      </c>
      <c r="J4" s="2" t="s">
        <v>69</v>
      </c>
      <c r="K4" s="2" t="s">
        <v>77</v>
      </c>
      <c r="L4" s="2" t="s">
        <v>91</v>
      </c>
      <c r="M4" s="2" t="s">
        <v>184</v>
      </c>
      <c r="N4" s="2" t="s">
        <v>185</v>
      </c>
      <c r="O4" s="2" t="s">
        <v>188</v>
      </c>
      <c r="P4" s="2" t="s">
        <v>189</v>
      </c>
      <c r="Q4" s="2" t="s">
        <v>191</v>
      </c>
      <c r="R4" t="s">
        <v>185</v>
      </c>
    </row>
    <row r="5" spans="2:22" x14ac:dyDescent="0.25">
      <c r="B5" s="86" t="s">
        <v>49</v>
      </c>
      <c r="C5" s="15" t="s">
        <v>1</v>
      </c>
      <c r="D5" s="13">
        <v>1827.3517563800001</v>
      </c>
      <c r="E5" s="13">
        <v>1879.43729031</v>
      </c>
      <c r="F5" s="13">
        <v>1969.2325103600001</v>
      </c>
      <c r="G5" s="13">
        <v>1934.4917919700003</v>
      </c>
      <c r="H5" s="13">
        <v>2049.0599459300001</v>
      </c>
      <c r="I5" s="13">
        <v>2414.1717670599996</v>
      </c>
      <c r="J5" s="13">
        <v>2442.0665601199994</v>
      </c>
      <c r="K5" s="13">
        <v>2323.9338963099999</v>
      </c>
      <c r="L5" s="13">
        <v>1049.7456100200002</v>
      </c>
      <c r="M5" s="13"/>
      <c r="N5" s="13"/>
      <c r="O5" s="13"/>
      <c r="P5" s="13"/>
      <c r="Q5" s="5"/>
    </row>
    <row r="6" spans="2:22" x14ac:dyDescent="0.25">
      <c r="B6" s="86" t="s">
        <v>50</v>
      </c>
      <c r="C6" s="15" t="s">
        <v>1</v>
      </c>
      <c r="D6" s="13">
        <v>2347.1036098</v>
      </c>
      <c r="E6" s="13">
        <v>1495.1817504200001</v>
      </c>
      <c r="F6" s="13">
        <v>1632.4608716199996</v>
      </c>
      <c r="G6" s="13">
        <v>1730.72359439</v>
      </c>
      <c r="H6" s="13">
        <v>1723.7210114</v>
      </c>
      <c r="I6" s="13">
        <v>1697.2421073899998</v>
      </c>
      <c r="J6" s="13">
        <v>1706.14044537</v>
      </c>
      <c r="K6" s="13">
        <v>1412.7973975099997</v>
      </c>
      <c r="L6" s="13">
        <v>1373.2373915799999</v>
      </c>
      <c r="M6" s="13">
        <v>134.28737290000001</v>
      </c>
      <c r="N6" s="13">
        <v>13.20828756</v>
      </c>
      <c r="O6" s="13">
        <v>13.2</v>
      </c>
      <c r="P6" s="13">
        <v>0</v>
      </c>
      <c r="Q6" s="13">
        <v>0</v>
      </c>
    </row>
    <row r="7" spans="2:22" x14ac:dyDescent="0.25">
      <c r="B7" s="86" t="s">
        <v>39</v>
      </c>
      <c r="C7" s="15" t="s">
        <v>1</v>
      </c>
      <c r="D7" s="13">
        <v>13256.7058108</v>
      </c>
      <c r="E7" s="13">
        <v>16511.17873566</v>
      </c>
      <c r="F7" s="13">
        <v>17053.004507270009</v>
      </c>
      <c r="G7" s="13">
        <v>14190.41329015</v>
      </c>
      <c r="H7" s="13">
        <v>13280.39994582</v>
      </c>
      <c r="I7" s="13">
        <v>11199.689072520003</v>
      </c>
      <c r="J7" s="13">
        <v>10246.651834190005</v>
      </c>
      <c r="K7" s="13">
        <v>9561.7722548700003</v>
      </c>
      <c r="L7" s="13">
        <v>4294.842016300001</v>
      </c>
      <c r="M7" s="13">
        <v>21.714968719999998</v>
      </c>
      <c r="N7" s="13">
        <v>21.954689740000003</v>
      </c>
      <c r="O7" s="13">
        <v>21.9</v>
      </c>
      <c r="P7" s="13">
        <v>0</v>
      </c>
      <c r="Q7" s="13">
        <v>0</v>
      </c>
    </row>
    <row r="8" spans="2:22" x14ac:dyDescent="0.25">
      <c r="B8" s="86" t="s">
        <v>48</v>
      </c>
      <c r="C8" s="15" t="s">
        <v>1</v>
      </c>
      <c r="D8" s="13">
        <v>15328.391987499999</v>
      </c>
      <c r="E8" s="13">
        <v>17110.045425730001</v>
      </c>
      <c r="F8" s="13">
        <v>13397.009078360001</v>
      </c>
      <c r="G8" s="13">
        <v>13215.646779809998</v>
      </c>
      <c r="H8" s="13">
        <v>13565.14728203</v>
      </c>
      <c r="I8" s="13">
        <v>12167.33698416</v>
      </c>
      <c r="J8" s="13">
        <v>10905.356975049997</v>
      </c>
      <c r="K8" s="13">
        <v>10728.598015409998</v>
      </c>
      <c r="L8" s="13">
        <v>4754.6267788300011</v>
      </c>
      <c r="M8" s="13"/>
      <c r="N8" s="13"/>
      <c r="O8" s="13"/>
      <c r="P8" s="13"/>
      <c r="Q8" s="5"/>
    </row>
    <row r="9" spans="2:22" x14ac:dyDescent="0.25">
      <c r="B9" s="86" t="s">
        <v>42</v>
      </c>
      <c r="C9" s="15" t="s">
        <v>1</v>
      </c>
      <c r="D9" s="13">
        <v>26496.109377699999</v>
      </c>
      <c r="E9" s="13">
        <v>30067.954751400001</v>
      </c>
      <c r="F9" s="13">
        <v>30406.528416159992</v>
      </c>
      <c r="G9" s="13">
        <v>31743.711186659992</v>
      </c>
      <c r="H9" s="13">
        <v>34008.77154432</v>
      </c>
      <c r="I9" s="13">
        <v>36012.625635369994</v>
      </c>
      <c r="J9" s="13">
        <v>35525.224648609998</v>
      </c>
      <c r="K9" s="13">
        <v>33522.97242743001</v>
      </c>
      <c r="L9" s="13">
        <v>28833.201838010002</v>
      </c>
      <c r="M9" s="13"/>
      <c r="N9" s="13"/>
      <c r="O9" s="13"/>
      <c r="P9" s="13"/>
      <c r="Q9" s="5"/>
    </row>
    <row r="10" spans="2:22" x14ac:dyDescent="0.25">
      <c r="B10" s="86" t="s">
        <v>81</v>
      </c>
      <c r="C10" s="15"/>
      <c r="D10" s="13"/>
      <c r="E10" s="13"/>
      <c r="F10" s="13"/>
      <c r="G10" s="13"/>
      <c r="H10" s="13"/>
      <c r="I10" s="13"/>
      <c r="J10" s="13"/>
      <c r="K10" s="34">
        <v>2622.96882293</v>
      </c>
      <c r="L10" s="34">
        <v>73345.565746539971</v>
      </c>
      <c r="M10" s="13">
        <v>217672.25804934005</v>
      </c>
      <c r="N10" s="13">
        <v>259259.51835093024</v>
      </c>
      <c r="O10" s="13">
        <v>303679.62362689205</v>
      </c>
      <c r="P10" s="13">
        <v>317469.27602719434</v>
      </c>
      <c r="Q10" s="13">
        <v>315353.47123756667</v>
      </c>
      <c r="R10">
        <v>318365.01735311956</v>
      </c>
    </row>
    <row r="11" spans="2:22" x14ac:dyDescent="0.25">
      <c r="B11" s="86" t="s">
        <v>47</v>
      </c>
      <c r="C11" s="15" t="s">
        <v>1</v>
      </c>
      <c r="D11" s="13">
        <v>36677.251951958599</v>
      </c>
      <c r="E11" s="13">
        <v>43060.870322510003</v>
      </c>
      <c r="F11" s="13">
        <v>46654.855009790008</v>
      </c>
      <c r="G11" s="13">
        <v>51825.55129850001</v>
      </c>
      <c r="H11" s="13">
        <v>58016.679925349999</v>
      </c>
      <c r="I11" s="13">
        <v>67314.141580079988</v>
      </c>
      <c r="J11" s="13">
        <v>80246.616145790002</v>
      </c>
      <c r="K11" s="13">
        <v>102627.68795168</v>
      </c>
      <c r="L11" s="13">
        <v>76871.80969200001</v>
      </c>
      <c r="M11" s="13"/>
      <c r="N11" s="13"/>
      <c r="O11" s="13"/>
      <c r="P11" s="13"/>
      <c r="Q11" s="5"/>
    </row>
    <row r="13" spans="2:22" x14ac:dyDescent="0.25">
      <c r="B13" s="31"/>
      <c r="C13" s="31"/>
      <c r="D13" s="31"/>
      <c r="E13" s="31"/>
      <c r="F13" s="31"/>
      <c r="G13" s="31"/>
      <c r="H13" s="31"/>
    </row>
    <row r="14" spans="2:22" x14ac:dyDescent="0.25">
      <c r="B14" s="90"/>
      <c r="C14" s="91"/>
      <c r="D14" s="92"/>
      <c r="E14" s="92"/>
      <c r="F14" s="92"/>
      <c r="G14" s="92"/>
      <c r="H14" s="92"/>
    </row>
    <row r="15" spans="2:22" x14ac:dyDescent="0.25">
      <c r="B15" s="93"/>
      <c r="C15" s="94"/>
      <c r="D15" s="95"/>
      <c r="E15" s="95"/>
      <c r="F15" s="95"/>
      <c r="G15" s="95"/>
      <c r="H15" s="95"/>
    </row>
    <row r="16" spans="2:22" x14ac:dyDescent="0.25">
      <c r="B16" s="93"/>
      <c r="C16" s="94"/>
      <c r="D16" s="95"/>
      <c r="E16" s="95"/>
      <c r="F16" s="95"/>
      <c r="G16" s="31"/>
      <c r="H16" s="95"/>
    </row>
    <row r="17" spans="2:10" x14ac:dyDescent="0.25">
      <c r="B17" s="93"/>
      <c r="C17" s="94"/>
      <c r="D17" s="95"/>
      <c r="E17" s="95"/>
      <c r="F17" s="95"/>
      <c r="G17" s="95"/>
      <c r="H17" s="95"/>
    </row>
    <row r="18" spans="2:10" x14ac:dyDescent="0.25">
      <c r="B18" s="93"/>
      <c r="C18" s="94"/>
      <c r="D18" s="95"/>
      <c r="E18" s="95"/>
      <c r="F18" s="95"/>
      <c r="G18" s="95"/>
      <c r="H18" s="95"/>
    </row>
    <row r="19" spans="2:10" x14ac:dyDescent="0.25">
      <c r="B19" s="93"/>
      <c r="C19" s="94"/>
      <c r="D19" s="95"/>
      <c r="E19" s="95"/>
      <c r="F19" s="95"/>
      <c r="G19" s="31"/>
      <c r="H19" s="95"/>
    </row>
    <row r="20" spans="2:10" x14ac:dyDescent="0.25">
      <c r="B20" s="93"/>
      <c r="C20" s="94"/>
      <c r="D20" s="95"/>
      <c r="E20" s="95"/>
      <c r="F20" s="95"/>
      <c r="G20" s="31"/>
      <c r="H20" s="95"/>
      <c r="I20" s="4"/>
      <c r="J20" s="4"/>
    </row>
    <row r="21" spans="2:10" x14ac:dyDescent="0.25">
      <c r="B21" s="93"/>
      <c r="C21" s="94"/>
      <c r="D21" s="95"/>
      <c r="E21" s="95"/>
      <c r="F21" s="95"/>
      <c r="G21" s="95"/>
      <c r="H21" s="95"/>
      <c r="I21" s="4"/>
      <c r="J21" s="4"/>
    </row>
    <row r="22" spans="2:10" x14ac:dyDescent="0.25">
      <c r="B22" s="31"/>
      <c r="C22" s="31"/>
      <c r="D22" s="31"/>
      <c r="E22" s="31"/>
      <c r="F22" s="31"/>
      <c r="G22" s="31"/>
      <c r="H22" s="31"/>
    </row>
    <row r="23" spans="2:10" x14ac:dyDescent="0.25">
      <c r="B23" s="31"/>
      <c r="C23" s="31"/>
      <c r="D23" s="31"/>
      <c r="E23" s="31"/>
      <c r="F23" s="31"/>
      <c r="G23" s="31"/>
      <c r="H23" s="31"/>
    </row>
  </sheetData>
  <pageMargins left="0.7" right="0.7" top="0.75" bottom="0.75" header="0.3" footer="0.3"/>
  <pageSetup paperSize="9" orientation="portrait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zoomScale="115" zoomScaleNormal="115" workbookViewId="0">
      <selection activeCell="P20" sqref="P20"/>
    </sheetView>
  </sheetViews>
  <sheetFormatPr defaultRowHeight="15" x14ac:dyDescent="0.25"/>
  <cols>
    <col min="1" max="1" width="34.42578125" customWidth="1"/>
    <col min="3" max="3" width="7.42578125" customWidth="1"/>
    <col min="9" max="9" width="10" customWidth="1"/>
    <col min="10" max="10" width="9.42578125" customWidth="1"/>
    <col min="15" max="15" width="12" customWidth="1"/>
  </cols>
  <sheetData>
    <row r="1" spans="1:19" x14ac:dyDescent="0.25">
      <c r="A1" t="s">
        <v>190</v>
      </c>
    </row>
    <row r="2" spans="1:19" x14ac:dyDescent="0.25">
      <c r="F2" s="35">
        <v>100</v>
      </c>
      <c r="J2">
        <v>100</v>
      </c>
    </row>
    <row r="3" spans="1:19" ht="22.5" x14ac:dyDescent="0.25">
      <c r="A3" s="5"/>
      <c r="B3" s="2" t="s">
        <v>59</v>
      </c>
      <c r="C3" s="2" t="s">
        <v>33</v>
      </c>
      <c r="D3" s="2" t="s">
        <v>34</v>
      </c>
      <c r="E3" s="2" t="s">
        <v>35</v>
      </c>
      <c r="F3" s="2" t="s">
        <v>36</v>
      </c>
      <c r="G3" s="2" t="s">
        <v>37</v>
      </c>
      <c r="H3" s="2" t="s">
        <v>43</v>
      </c>
      <c r="I3" s="2" t="s">
        <v>61</v>
      </c>
      <c r="J3" s="2" t="s">
        <v>69</v>
      </c>
      <c r="K3" s="2" t="s">
        <v>77</v>
      </c>
      <c r="L3" s="2" t="s">
        <v>91</v>
      </c>
      <c r="M3" s="2" t="s">
        <v>184</v>
      </c>
      <c r="N3" s="2" t="s">
        <v>185</v>
      </c>
      <c r="O3" s="2" t="s">
        <v>188</v>
      </c>
      <c r="P3" s="2" t="s">
        <v>189</v>
      </c>
      <c r="Q3" s="2" t="s">
        <v>191</v>
      </c>
      <c r="R3" s="101" t="s">
        <v>196</v>
      </c>
      <c r="S3" t="s">
        <v>198</v>
      </c>
    </row>
    <row r="4" spans="1:19" x14ac:dyDescent="0.25">
      <c r="A4" s="1" t="s">
        <v>30</v>
      </c>
      <c r="B4" s="6">
        <v>0.10080068430643996</v>
      </c>
      <c r="C4" s="6">
        <v>4.8095669037414135E-2</v>
      </c>
      <c r="D4" s="6">
        <v>3.5190709741738768E-2</v>
      </c>
      <c r="E4" s="6">
        <v>-1.9117711880520805E-3</v>
      </c>
      <c r="F4" s="35">
        <v>2.707054506711204</v>
      </c>
      <c r="G4" s="35">
        <v>0.40093458529244508</v>
      </c>
      <c r="H4" s="35">
        <v>-0.5645320782542762</v>
      </c>
      <c r="I4" s="29">
        <v>-2.7957642531286409</v>
      </c>
      <c r="J4" s="29">
        <v>2.1999999999999997</v>
      </c>
      <c r="K4" s="29">
        <v>-13.064174962726394</v>
      </c>
      <c r="L4" s="96">
        <v>-1.5394234251942196</v>
      </c>
      <c r="M4" s="85">
        <v>-5.9</v>
      </c>
      <c r="N4" s="84">
        <v>15</v>
      </c>
      <c r="O4" s="84">
        <v>11.1</v>
      </c>
      <c r="P4" s="5">
        <v>16.399999999999999</v>
      </c>
      <c r="Q4" s="5">
        <v>158.19999999999999</v>
      </c>
      <c r="R4" s="98">
        <v>11.8</v>
      </c>
      <c r="S4" t="s">
        <v>199</v>
      </c>
    </row>
    <row r="5" spans="1:19" x14ac:dyDescent="0.25">
      <c r="A5" s="1" t="s">
        <v>31</v>
      </c>
      <c r="B5" s="6">
        <v>0.45878325560099986</v>
      </c>
      <c r="C5" s="6">
        <v>3.045718727789537E-2</v>
      </c>
      <c r="D5" s="6">
        <v>0.23418932137071669</v>
      </c>
      <c r="E5" s="6">
        <v>0.41550402220918436</v>
      </c>
      <c r="F5" s="35">
        <v>-2.5355286898278262</v>
      </c>
      <c r="G5" s="35">
        <v>3.8902558854132741</v>
      </c>
      <c r="H5" s="35">
        <v>15.95833759491998</v>
      </c>
      <c r="I5" s="29">
        <v>0.50409178155932377</v>
      </c>
      <c r="J5" s="29">
        <v>-3.3000000000000003</v>
      </c>
      <c r="K5" s="29">
        <v>6.3477954452104024</v>
      </c>
      <c r="L5" s="96">
        <v>19.492209369081049</v>
      </c>
      <c r="M5" s="29">
        <v>7.4</v>
      </c>
      <c r="N5" s="97">
        <v>12.9</v>
      </c>
      <c r="O5" s="97">
        <v>6.2</v>
      </c>
      <c r="P5" s="97">
        <v>5.8</v>
      </c>
      <c r="Q5" s="97">
        <v>0.1</v>
      </c>
      <c r="R5" s="99">
        <v>11.3</v>
      </c>
      <c r="S5" s="99">
        <v>17.7</v>
      </c>
    </row>
    <row r="6" spans="1:19" x14ac:dyDescent="0.25">
      <c r="A6" s="1" t="s">
        <v>32</v>
      </c>
      <c r="B6" s="6">
        <v>0.31422949787427989</v>
      </c>
      <c r="C6" s="6">
        <v>2.8769650087796528E-3</v>
      </c>
      <c r="D6" s="6">
        <v>0.10938745299425134</v>
      </c>
      <c r="E6" s="6">
        <v>0.19574391444325001</v>
      </c>
      <c r="F6" s="35">
        <v>11.288660940204753</v>
      </c>
      <c r="G6" s="35">
        <v>5.0397908686542703</v>
      </c>
      <c r="H6" s="35">
        <v>6.4770641466136869</v>
      </c>
      <c r="I6" s="29">
        <v>-11.938954244919586</v>
      </c>
      <c r="J6" s="29">
        <v>1.4000000000000001</v>
      </c>
      <c r="K6" s="29">
        <v>3.4196949892057571</v>
      </c>
      <c r="L6" s="96">
        <v>10.004735728376257</v>
      </c>
      <c r="M6" s="29">
        <v>-0.8</v>
      </c>
      <c r="N6" s="84">
        <v>7.1</v>
      </c>
      <c r="O6" s="5">
        <v>-1.5</v>
      </c>
      <c r="P6" s="5">
        <v>38.700000000000003</v>
      </c>
      <c r="Q6" s="5">
        <v>-43.2</v>
      </c>
      <c r="R6" s="98">
        <v>0.4</v>
      </c>
      <c r="S6" s="98">
        <v>3.1</v>
      </c>
    </row>
    <row r="7" spans="1:19" x14ac:dyDescent="0.25">
      <c r="A7" s="100" t="s">
        <v>192</v>
      </c>
      <c r="Q7" s="89">
        <v>-12.4</v>
      </c>
      <c r="R7" s="89">
        <v>32</v>
      </c>
      <c r="S7">
        <v>13.1</v>
      </c>
    </row>
    <row r="8" spans="1:19" x14ac:dyDescent="0.25">
      <c r="A8" s="1" t="s">
        <v>197</v>
      </c>
      <c r="B8" s="6">
        <v>0.33249012334632999</v>
      </c>
      <c r="C8" s="6">
        <v>4.0604010000000024E-2</v>
      </c>
      <c r="D8" s="6">
        <v>7.1016540442504716E-2</v>
      </c>
      <c r="E8" s="6">
        <v>9.436671964162513E-2</v>
      </c>
      <c r="F8" s="35">
        <v>8.6683238480999449</v>
      </c>
      <c r="G8" s="35">
        <v>4.8870932736000006</v>
      </c>
      <c r="H8" s="35">
        <v>2.9152960689878826</v>
      </c>
      <c r="I8" s="35">
        <v>4.9000000000000004</v>
      </c>
      <c r="J8" s="35">
        <v>3.6571153813377499</v>
      </c>
      <c r="K8" s="35">
        <v>5.3247667928602471</v>
      </c>
      <c r="L8" s="8">
        <v>-2.4557451292752441</v>
      </c>
      <c r="M8" s="12">
        <v>3.4</v>
      </c>
      <c r="N8" s="84">
        <v>3.3</v>
      </c>
      <c r="O8" s="5">
        <v>5.0999999999999996</v>
      </c>
      <c r="P8" s="5">
        <v>1.8</v>
      </c>
      <c r="Q8" s="8">
        <v>7</v>
      </c>
      <c r="R8" s="98">
        <v>7.3</v>
      </c>
      <c r="S8" s="98">
        <v>2.7</v>
      </c>
    </row>
    <row r="9" spans="1:19" x14ac:dyDescent="0.25">
      <c r="A9" s="37" t="s">
        <v>66</v>
      </c>
    </row>
    <row r="10" spans="1:19" x14ac:dyDescent="0.25">
      <c r="L10" s="9"/>
    </row>
    <row r="11" spans="1:19" x14ac:dyDescent="0.25">
      <c r="A11" s="37" t="s">
        <v>92</v>
      </c>
      <c r="L11" s="9"/>
    </row>
  </sheetData>
  <hyperlinks>
    <hyperlink ref="A11" r:id="rId1"/>
    <hyperlink ref="A9" r:id="rId2"/>
  </hyperlinks>
  <pageMargins left="0.7" right="0.7" top="0.75" bottom="0.75" header="0.3" footer="0.3"/>
  <pageSetup paperSize="9" orientation="portrait" r:id="rId3"/>
  <drawing r:id="rId4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opLeftCell="A61" zoomScale="115" zoomScaleNormal="115" workbookViewId="0">
      <selection activeCell="C89" sqref="C89"/>
    </sheetView>
  </sheetViews>
  <sheetFormatPr defaultRowHeight="15" x14ac:dyDescent="0.25"/>
  <cols>
    <col min="2" max="2" width="65.7109375" customWidth="1"/>
    <col min="3" max="3" width="12.7109375" customWidth="1"/>
    <col min="4" max="4" width="12" customWidth="1"/>
    <col min="5" max="5" width="13.140625" customWidth="1"/>
    <col min="6" max="6" width="11.28515625" customWidth="1"/>
    <col min="7" max="7" width="41" customWidth="1"/>
    <col min="8" max="8" width="13.42578125" customWidth="1"/>
    <col min="9" max="9" width="19" customWidth="1"/>
    <col min="10" max="10" width="12" bestFit="1" customWidth="1"/>
    <col min="11" max="11" width="13.140625" bestFit="1" customWidth="1"/>
    <col min="16" max="16" width="13.28515625" customWidth="1"/>
    <col min="17" max="17" width="10" customWidth="1"/>
  </cols>
  <sheetData>
    <row r="1" spans="1:11" x14ac:dyDescent="0.25">
      <c r="A1" t="s">
        <v>186</v>
      </c>
    </row>
    <row r="4" spans="1:11" x14ac:dyDescent="0.25">
      <c r="G4" s="4">
        <f>F12-E12</f>
        <v>-1199.2071516399992</v>
      </c>
    </row>
    <row r="6" spans="1:11" x14ac:dyDescent="0.25">
      <c r="B6" s="16" t="s">
        <v>4</v>
      </c>
      <c r="C6" s="5" t="s">
        <v>75</v>
      </c>
      <c r="D6" s="2" t="s">
        <v>69</v>
      </c>
      <c r="E6" s="2" t="s">
        <v>77</v>
      </c>
      <c r="F6" s="2" t="s">
        <v>91</v>
      </c>
    </row>
    <row r="7" spans="1:11" x14ac:dyDescent="0.25">
      <c r="B7" s="17" t="s">
        <v>21</v>
      </c>
      <c r="C7" s="7">
        <f>F7-E7</f>
        <v>0.60161629000000261</v>
      </c>
      <c r="D7" s="13">
        <v>45.78500786</v>
      </c>
      <c r="E7" s="13">
        <v>50.09648198</v>
      </c>
      <c r="F7" s="13">
        <v>50.698098270000003</v>
      </c>
      <c r="G7">
        <v>49.175147840000001</v>
      </c>
      <c r="I7" s="6">
        <f>F7/$F$23</f>
        <v>2.0251709861183394E-5</v>
      </c>
      <c r="K7" s="9">
        <f>G7/$G$23*100</f>
        <v>1.8222676855842025E-3</v>
      </c>
    </row>
    <row r="8" spans="1:11" x14ac:dyDescent="0.25">
      <c r="B8" s="17" t="s">
        <v>8</v>
      </c>
      <c r="C8" s="7">
        <f t="shared" ref="C8:C21" si="0">F8-E8</f>
        <v>-446.73257254999999</v>
      </c>
      <c r="D8" s="13">
        <v>1428.5765447200004</v>
      </c>
      <c r="E8" s="13">
        <v>1040.94438704</v>
      </c>
      <c r="F8" s="13">
        <v>594.21181449000005</v>
      </c>
      <c r="G8">
        <v>32.978235839999996</v>
      </c>
      <c r="I8" s="6">
        <f t="shared" ref="I8:I21" si="1">F8/$F$23</f>
        <v>2.3736206433328235E-4</v>
      </c>
      <c r="K8" s="9">
        <f t="shared" ref="K8:K21" si="2">G8/$G$23*100</f>
        <v>1.2220639111108929E-3</v>
      </c>
    </row>
    <row r="9" spans="1:11" x14ac:dyDescent="0.25">
      <c r="B9" s="17" t="s">
        <v>6</v>
      </c>
      <c r="C9" s="7">
        <f t="shared" si="0"/>
        <v>-617.85114020000003</v>
      </c>
      <c r="D9" s="13">
        <v>1132.84712577</v>
      </c>
      <c r="E9" s="13">
        <v>1155.29568255</v>
      </c>
      <c r="F9" s="13">
        <v>537.44454235000001</v>
      </c>
      <c r="G9">
        <v>543.41297206000002</v>
      </c>
      <c r="I9" s="6">
        <f t="shared" si="1"/>
        <v>2.1468598053093582E-4</v>
      </c>
      <c r="K9" s="9">
        <f t="shared" si="2"/>
        <v>2.0137080261235653E-2</v>
      </c>
    </row>
    <row r="10" spans="1:11" x14ac:dyDescent="0.25">
      <c r="B10" s="11" t="s">
        <v>93</v>
      </c>
      <c r="C10" s="7">
        <f t="shared" si="0"/>
        <v>850.03768763000005</v>
      </c>
      <c r="F10" s="13">
        <v>850.03768763000005</v>
      </c>
      <c r="G10">
        <v>1209.7970954800001</v>
      </c>
      <c r="I10" s="6">
        <f t="shared" si="1"/>
        <v>3.395534982254079E-4</v>
      </c>
      <c r="K10" s="9">
        <f t="shared" si="2"/>
        <v>4.4831063047940392E-2</v>
      </c>
    </row>
    <row r="11" spans="1:11" x14ac:dyDescent="0.25">
      <c r="B11" s="17" t="s">
        <v>11</v>
      </c>
      <c r="C11" s="7">
        <f t="shared" si="0"/>
        <v>-21.55778083999985</v>
      </c>
      <c r="D11" s="13">
        <v>1556.2629956600001</v>
      </c>
      <c r="E11" s="13">
        <v>1534.2574793599999</v>
      </c>
      <c r="F11" s="13">
        <v>1512.6996985200001</v>
      </c>
      <c r="I11" s="39">
        <f t="shared" si="1"/>
        <v>6.0425847214972133E-4</v>
      </c>
      <c r="K11" s="9">
        <f t="shared" si="2"/>
        <v>0</v>
      </c>
    </row>
    <row r="12" spans="1:11" s="65" customFormat="1" x14ac:dyDescent="0.25">
      <c r="B12" s="19" t="s">
        <v>16</v>
      </c>
      <c r="C12" s="66">
        <f t="shared" si="0"/>
        <v>-1199.2071516399992</v>
      </c>
      <c r="D12" s="30">
        <v>13862.438596919999</v>
      </c>
      <c r="E12" s="30">
        <v>12379.831211519999</v>
      </c>
      <c r="F12" s="30">
        <v>11180.62405988</v>
      </c>
      <c r="G12" s="65">
        <v>12128.39933746</v>
      </c>
      <c r="I12" s="67">
        <f t="shared" si="1"/>
        <v>4.4661784614047628E-3</v>
      </c>
      <c r="K12" s="68">
        <f t="shared" si="2"/>
        <v>0.44943820529882933</v>
      </c>
    </row>
    <row r="13" spans="1:11" s="65" customFormat="1" x14ac:dyDescent="0.25">
      <c r="B13" s="19" t="s">
        <v>12</v>
      </c>
      <c r="C13" s="66">
        <f t="shared" si="0"/>
        <v>401.14567461001207</v>
      </c>
      <c r="D13" s="30">
        <v>28388.41283714</v>
      </c>
      <c r="E13" s="30">
        <v>26304.879255969998</v>
      </c>
      <c r="F13" s="30">
        <v>26706.02493058001</v>
      </c>
      <c r="G13" s="65">
        <v>19659.233456559996</v>
      </c>
      <c r="I13" s="67">
        <f t="shared" si="1"/>
        <v>1.0667908400810252E-2</v>
      </c>
      <c r="K13" s="68">
        <f t="shared" si="2"/>
        <v>0.72850591050190738</v>
      </c>
    </row>
    <row r="14" spans="1:11" s="65" customFormat="1" x14ac:dyDescent="0.25">
      <c r="B14" s="19" t="s">
        <v>9</v>
      </c>
      <c r="C14" s="66">
        <f t="shared" si="0"/>
        <v>-9319.9240616099996</v>
      </c>
      <c r="D14" s="30">
        <v>42674.450096509994</v>
      </c>
      <c r="E14" s="30">
        <v>36651.965109700002</v>
      </c>
      <c r="F14" s="30">
        <v>27332.041048090003</v>
      </c>
      <c r="G14" s="65">
        <v>25422.902931800003</v>
      </c>
      <c r="I14" s="67">
        <f t="shared" si="1"/>
        <v>1.0917974916376949E-2</v>
      </c>
      <c r="K14" s="68">
        <f t="shared" si="2"/>
        <v>0.94208836213562908</v>
      </c>
    </row>
    <row r="15" spans="1:11" s="65" customFormat="1" x14ac:dyDescent="0.25">
      <c r="B15" s="19" t="s">
        <v>13</v>
      </c>
      <c r="C15" s="66">
        <f t="shared" si="0"/>
        <v>-7870.093790470004</v>
      </c>
      <c r="D15" s="30">
        <v>60853.37965509999</v>
      </c>
      <c r="E15" s="30">
        <v>60794.141829499997</v>
      </c>
      <c r="F15" s="30">
        <v>52924.048039029993</v>
      </c>
      <c r="G15" s="65">
        <v>46114.429820310004</v>
      </c>
      <c r="I15" s="67">
        <f t="shared" si="1"/>
        <v>2.1140881061410419E-2</v>
      </c>
      <c r="K15" s="68">
        <f t="shared" si="2"/>
        <v>1.7088476393422762</v>
      </c>
    </row>
    <row r="16" spans="1:11" s="65" customFormat="1" x14ac:dyDescent="0.25">
      <c r="B16" s="19" t="s">
        <v>5</v>
      </c>
      <c r="C16" s="66">
        <f t="shared" si="0"/>
        <v>-3091.5362780100113</v>
      </c>
      <c r="D16" s="30">
        <v>117545.05425594002</v>
      </c>
      <c r="E16" s="30">
        <v>80400.472846589997</v>
      </c>
      <c r="F16" s="30">
        <v>77308.936568579986</v>
      </c>
      <c r="G16" s="65">
        <v>33919.821774460004</v>
      </c>
      <c r="I16" s="67">
        <f t="shared" si="1"/>
        <v>3.0881595296247247E-2</v>
      </c>
      <c r="K16" s="68">
        <f t="shared" si="2"/>
        <v>1.2569559591663417</v>
      </c>
    </row>
    <row r="17" spans="2:11" s="65" customFormat="1" x14ac:dyDescent="0.25">
      <c r="B17" s="19" t="s">
        <v>15</v>
      </c>
      <c r="C17" s="66">
        <f t="shared" si="0"/>
        <v>56.867587929984438</v>
      </c>
      <c r="D17" s="30">
        <v>90459.228631930004</v>
      </c>
      <c r="E17" s="30">
        <v>84763.900112520001</v>
      </c>
      <c r="F17" s="30">
        <v>84820.767700449986</v>
      </c>
      <c r="G17" s="65">
        <v>88654.881511719999</v>
      </c>
      <c r="I17" s="67">
        <f t="shared" si="1"/>
        <v>3.3882248768467439E-2</v>
      </c>
      <c r="K17" s="68">
        <f t="shared" si="2"/>
        <v>3.2852555171515614</v>
      </c>
    </row>
    <row r="18" spans="2:11" s="65" customFormat="1" x14ac:dyDescent="0.25">
      <c r="B18" s="19" t="s">
        <v>14</v>
      </c>
      <c r="C18" s="66">
        <f t="shared" si="0"/>
        <v>-36874.646781860007</v>
      </c>
      <c r="D18" s="30">
        <v>217575.43240640007</v>
      </c>
      <c r="E18" s="30">
        <v>216309.44505493992</v>
      </c>
      <c r="F18" s="30">
        <v>179434.79827307991</v>
      </c>
      <c r="G18" s="65">
        <v>143459.74688724003</v>
      </c>
      <c r="I18" s="67">
        <f t="shared" si="1"/>
        <v>7.1676484870768414E-2</v>
      </c>
      <c r="K18" s="68">
        <f t="shared" si="2"/>
        <v>5.3161418402907303</v>
      </c>
    </row>
    <row r="19" spans="2:11" s="65" customFormat="1" x14ac:dyDescent="0.25">
      <c r="B19" s="19" t="s">
        <v>73</v>
      </c>
      <c r="C19" s="66">
        <f t="shared" si="0"/>
        <v>214950.52189008961</v>
      </c>
      <c r="D19" s="30">
        <v>152197.61208056001</v>
      </c>
      <c r="E19" s="30">
        <v>429534.09633179009</v>
      </c>
      <c r="F19" s="30">
        <v>644484.6182218797</v>
      </c>
      <c r="G19" s="65">
        <v>1426658.5066114399</v>
      </c>
      <c r="I19" s="67">
        <f t="shared" si="1"/>
        <v>0.25744388731733497</v>
      </c>
      <c r="K19" s="68">
        <f t="shared" si="2"/>
        <v>52.867226824016868</v>
      </c>
    </row>
    <row r="20" spans="2:11" s="65" customFormat="1" x14ac:dyDescent="0.25">
      <c r="B20" s="19" t="s">
        <v>7</v>
      </c>
      <c r="C20" s="66">
        <f t="shared" si="0"/>
        <v>-17780.355693190009</v>
      </c>
      <c r="D20" s="30">
        <v>852166.04900642962</v>
      </c>
      <c r="E20" s="30">
        <v>586709.04612908</v>
      </c>
      <c r="F20" s="30">
        <v>568928.69043588999</v>
      </c>
      <c r="G20" s="65">
        <v>243078.30553772999</v>
      </c>
      <c r="I20" s="67">
        <f t="shared" si="1"/>
        <v>0.22726254363723428</v>
      </c>
      <c r="K20" s="68">
        <f t="shared" si="2"/>
        <v>9.0076748256903407</v>
      </c>
    </row>
    <row r="21" spans="2:11" x14ac:dyDescent="0.25">
      <c r="B21" s="17" t="s">
        <v>10</v>
      </c>
      <c r="C21" s="7">
        <f t="shared" si="0"/>
        <v>-107046.36869470042</v>
      </c>
      <c r="D21" s="13">
        <v>989238.67601705925</v>
      </c>
      <c r="E21" s="13">
        <v>933779.1377602698</v>
      </c>
      <c r="F21" s="13">
        <v>826732.76906556939</v>
      </c>
      <c r="G21">
        <v>657637.24294191028</v>
      </c>
      <c r="I21" s="3">
        <f t="shared" si="1"/>
        <v>0.33024418554484458</v>
      </c>
      <c r="K21" s="9">
        <f t="shared" si="2"/>
        <v>24.369852441499656</v>
      </c>
    </row>
    <row r="22" spans="2:11" x14ac:dyDescent="0.25">
      <c r="B22" s="17" t="s">
        <v>17</v>
      </c>
      <c r="C22" s="7"/>
      <c r="D22" s="13"/>
      <c r="E22" s="13"/>
      <c r="F22" s="34" t="s">
        <v>78</v>
      </c>
    </row>
    <row r="23" spans="2:11" x14ac:dyDescent="0.25">
      <c r="B23" s="23"/>
      <c r="C23" s="36"/>
      <c r="D23" s="24"/>
      <c r="E23" s="4">
        <f>SUM(E7:E21)</f>
        <v>2471407.5096728099</v>
      </c>
      <c r="F23" s="4">
        <f>SUM(F7:F22)</f>
        <v>2503398.4101842893</v>
      </c>
      <c r="G23">
        <f>SUM(G7:G21)</f>
        <v>2698568.83426185</v>
      </c>
    </row>
    <row r="24" spans="2:11" x14ac:dyDescent="0.25">
      <c r="B24" s="23"/>
      <c r="C24" s="36"/>
      <c r="D24" s="24"/>
      <c r="G24" s="20"/>
      <c r="I24" s="4">
        <f>G23-F23</f>
        <v>195170.42407756066</v>
      </c>
    </row>
    <row r="25" spans="2:11" x14ac:dyDescent="0.25">
      <c r="C25" s="21"/>
      <c r="D25" s="21"/>
      <c r="F25" s="4">
        <f>F23-E23</f>
        <v>31990.900511479471</v>
      </c>
      <c r="G25" s="20"/>
    </row>
    <row r="26" spans="2:11" ht="23.25" x14ac:dyDescent="0.25">
      <c r="B26" s="10" t="s">
        <v>4</v>
      </c>
      <c r="C26" s="18" t="s">
        <v>62</v>
      </c>
      <c r="D26" s="2" t="s">
        <v>77</v>
      </c>
      <c r="G26" s="20"/>
    </row>
    <row r="27" spans="2:11" x14ac:dyDescent="0.25">
      <c r="B27" s="70" t="s">
        <v>40</v>
      </c>
      <c r="C27" s="22">
        <f>G12-F12</f>
        <v>947.77527757999997</v>
      </c>
      <c r="D27" s="13"/>
      <c r="E27">
        <f t="shared" ref="E27:E37" si="3">C27/$C$38</f>
        <v>0.94777527758000002</v>
      </c>
    </row>
    <row r="28" spans="2:11" x14ac:dyDescent="0.25">
      <c r="B28" s="17" t="s">
        <v>41</v>
      </c>
      <c r="C28" s="22">
        <f t="shared" ref="C28:C33" si="4">G12-F12</f>
        <v>947.77527757999997</v>
      </c>
      <c r="D28" s="13"/>
      <c r="E28">
        <f t="shared" si="3"/>
        <v>0.94777527758000002</v>
      </c>
    </row>
    <row r="29" spans="2:11" x14ac:dyDescent="0.25">
      <c r="B29" s="19" t="s">
        <v>42</v>
      </c>
      <c r="C29" s="22">
        <f t="shared" si="4"/>
        <v>-7046.791474020014</v>
      </c>
      <c r="D29" s="13"/>
      <c r="E29">
        <f t="shared" si="3"/>
        <v>-7.0467914740200142</v>
      </c>
    </row>
    <row r="30" spans="2:11" x14ac:dyDescent="0.25">
      <c r="B30" s="19" t="s">
        <v>44</v>
      </c>
      <c r="C30" s="22">
        <f t="shared" si="4"/>
        <v>-1909.1381162899997</v>
      </c>
      <c r="D30" s="13"/>
      <c r="E30">
        <f t="shared" si="3"/>
        <v>-1.9091381162899999</v>
      </c>
    </row>
    <row r="31" spans="2:11" x14ac:dyDescent="0.25">
      <c r="B31" s="17" t="s">
        <v>65</v>
      </c>
      <c r="C31" s="22">
        <f t="shared" si="4"/>
        <v>-6809.6182187199884</v>
      </c>
      <c r="D31" s="13"/>
      <c r="E31">
        <f t="shared" si="3"/>
        <v>-6.8096182187199883</v>
      </c>
    </row>
    <row r="32" spans="2:11" x14ac:dyDescent="0.25">
      <c r="B32" s="19" t="s">
        <v>45</v>
      </c>
      <c r="C32" s="22">
        <f t="shared" si="4"/>
        <v>-43389.114794119982</v>
      </c>
      <c r="D32" s="13"/>
      <c r="E32">
        <f t="shared" si="3"/>
        <v>-43.389114794119983</v>
      </c>
    </row>
    <row r="33" spans="2:9" x14ac:dyDescent="0.25">
      <c r="B33" s="17" t="s">
        <v>46</v>
      </c>
      <c r="C33" s="22">
        <f t="shared" si="4"/>
        <v>3834.1138112700137</v>
      </c>
      <c r="D33" s="13"/>
      <c r="E33">
        <f t="shared" si="3"/>
        <v>3.8341138112700137</v>
      </c>
    </row>
    <row r="34" spans="2:9" x14ac:dyDescent="0.25">
      <c r="B34" s="17" t="s">
        <v>38</v>
      </c>
      <c r="C34" s="22" t="e">
        <f>C47-C35-C36-C37-C38-C39-C40-C41-C42-C43-C44</f>
        <v>#VALUE!</v>
      </c>
      <c r="D34" s="38"/>
      <c r="E34" t="e">
        <f t="shared" si="3"/>
        <v>#VALUE!</v>
      </c>
    </row>
    <row r="35" spans="2:9" x14ac:dyDescent="0.25">
      <c r="B35" s="71" t="s">
        <v>51</v>
      </c>
      <c r="C35" s="22">
        <f>G19-F19</f>
        <v>782173.88838956016</v>
      </c>
      <c r="D35" s="13"/>
      <c r="E35">
        <f t="shared" si="3"/>
        <v>782.17388838956015</v>
      </c>
    </row>
    <row r="36" spans="2:9" x14ac:dyDescent="0.25">
      <c r="B36" s="19" t="s">
        <v>39</v>
      </c>
      <c r="C36" s="22">
        <f>G20-F20</f>
        <v>-325850.38489816</v>
      </c>
      <c r="D36" s="13"/>
      <c r="E36">
        <f t="shared" si="3"/>
        <v>-325.85038489816003</v>
      </c>
    </row>
    <row r="37" spans="2:9" x14ac:dyDescent="0.25">
      <c r="B37" s="17" t="s">
        <v>74</v>
      </c>
      <c r="C37" s="22">
        <f>G20-F20</f>
        <v>-325850.38489816</v>
      </c>
      <c r="D37" s="13"/>
      <c r="E37">
        <f t="shared" si="3"/>
        <v>-325.85038489816003</v>
      </c>
    </row>
    <row r="38" spans="2:9" x14ac:dyDescent="0.25">
      <c r="C38" s="18">
        <v>1000</v>
      </c>
    </row>
    <row r="39" spans="2:9" ht="15.75" customHeight="1" x14ac:dyDescent="0.25">
      <c r="D39" s="21"/>
      <c r="E39" s="21"/>
    </row>
    <row r="40" spans="2:9" ht="15.75" customHeight="1" x14ac:dyDescent="0.25">
      <c r="C40" s="69">
        <f>G23-F23</f>
        <v>195170.42407756066</v>
      </c>
      <c r="D40" s="21"/>
      <c r="E40" s="21"/>
    </row>
    <row r="42" spans="2:9" x14ac:dyDescent="0.25">
      <c r="C42" s="21"/>
      <c r="D42" s="21"/>
      <c r="E42" s="21"/>
    </row>
    <row r="43" spans="2:9" x14ac:dyDescent="0.25">
      <c r="D43">
        <v>2016</v>
      </c>
      <c r="E43">
        <v>2017</v>
      </c>
      <c r="G43" s="20"/>
    </row>
    <row r="44" spans="2:9" x14ac:dyDescent="0.25">
      <c r="B44" s="73" t="s">
        <v>4</v>
      </c>
      <c r="C44" s="74" t="s">
        <v>1</v>
      </c>
      <c r="D44" s="62">
        <v>2430956.011216023</v>
      </c>
      <c r="E44" s="62">
        <v>2698568.8342618505</v>
      </c>
      <c r="F44" s="62"/>
      <c r="G44" s="62"/>
    </row>
    <row r="45" spans="2:9" x14ac:dyDescent="0.25">
      <c r="B45" s="75" t="s">
        <v>7</v>
      </c>
      <c r="C45" s="76" t="s">
        <v>1</v>
      </c>
      <c r="D45" s="63">
        <v>841070.95816480974</v>
      </c>
      <c r="E45" s="77">
        <v>243078.30553772999</v>
      </c>
      <c r="F45" s="63"/>
      <c r="G45" s="63">
        <f t="shared" ref="G45:G60" si="5">E45-D45</f>
        <v>-597992.65262707975</v>
      </c>
      <c r="I45" s="9">
        <f t="shared" ref="I45:I60" si="6">G45/$G$63</f>
        <v>-597.99265262707979</v>
      </c>
    </row>
    <row r="46" spans="2:9" x14ac:dyDescent="0.25">
      <c r="B46" s="75" t="s">
        <v>10</v>
      </c>
      <c r="C46" s="76" t="s">
        <v>1</v>
      </c>
      <c r="D46" s="63">
        <v>993529.12255076016</v>
      </c>
      <c r="E46" s="77">
        <v>657637.24294191028</v>
      </c>
      <c r="F46" s="63"/>
      <c r="G46" s="63">
        <f t="shared" si="5"/>
        <v>-335891.87960884988</v>
      </c>
      <c r="I46" s="9">
        <f t="shared" si="6"/>
        <v>-335.89187960884988</v>
      </c>
    </row>
    <row r="47" spans="2:9" x14ac:dyDescent="0.25">
      <c r="B47" s="75" t="s">
        <v>14</v>
      </c>
      <c r="C47" s="76" t="s">
        <v>1</v>
      </c>
      <c r="D47" s="63">
        <v>231522.62295870992</v>
      </c>
      <c r="E47" s="77">
        <v>143459.74688724003</v>
      </c>
      <c r="F47" s="63"/>
      <c r="G47" s="63">
        <f t="shared" si="5"/>
        <v>-88062.876071469887</v>
      </c>
      <c r="I47" s="9">
        <f t="shared" si="6"/>
        <v>-88.062876071469887</v>
      </c>
    </row>
    <row r="48" spans="2:9" x14ac:dyDescent="0.25">
      <c r="B48" s="75" t="s">
        <v>5</v>
      </c>
      <c r="C48" s="76" t="s">
        <v>1</v>
      </c>
      <c r="D48" s="63">
        <v>120330.03944373998</v>
      </c>
      <c r="E48" s="77">
        <v>33919.821774460004</v>
      </c>
      <c r="F48" s="63"/>
      <c r="G48" s="63">
        <f t="shared" si="5"/>
        <v>-86410.217669279984</v>
      </c>
      <c r="I48" s="9">
        <f t="shared" si="6"/>
        <v>-86.410217669279987</v>
      </c>
    </row>
    <row r="49" spans="2:9" x14ac:dyDescent="0.25">
      <c r="B49" s="78" t="s">
        <v>9</v>
      </c>
      <c r="C49" s="76" t="s">
        <v>1</v>
      </c>
      <c r="D49" s="63">
        <v>44957.199483539996</v>
      </c>
      <c r="E49" s="77">
        <v>25422.902931800003</v>
      </c>
      <c r="F49" s="63"/>
      <c r="G49" s="63">
        <f t="shared" si="5"/>
        <v>-19534.296551739993</v>
      </c>
      <c r="I49" s="9">
        <f t="shared" si="6"/>
        <v>-19.534296551739992</v>
      </c>
    </row>
    <row r="50" spans="2:9" x14ac:dyDescent="0.25">
      <c r="B50" s="75" t="s">
        <v>13</v>
      </c>
      <c r="C50" s="76" t="s">
        <v>1</v>
      </c>
      <c r="D50" s="63">
        <v>61186.349227960018</v>
      </c>
      <c r="E50" s="77">
        <v>46114.429820310004</v>
      </c>
      <c r="F50" s="63"/>
      <c r="G50" s="63">
        <f t="shared" si="5"/>
        <v>-15071.919407650013</v>
      </c>
      <c r="I50" s="9">
        <f t="shared" si="6"/>
        <v>-15.071919407650013</v>
      </c>
    </row>
    <row r="51" spans="2:9" x14ac:dyDescent="0.25">
      <c r="B51" s="78" t="s">
        <v>12</v>
      </c>
      <c r="C51" s="76" t="s">
        <v>1</v>
      </c>
      <c r="D51" s="63">
        <v>28094.197702060006</v>
      </c>
      <c r="E51" s="77">
        <v>19659.233456559996</v>
      </c>
      <c r="F51" s="63"/>
      <c r="G51" s="63">
        <f t="shared" si="5"/>
        <v>-8434.9642455000103</v>
      </c>
      <c r="I51" s="9">
        <f t="shared" si="6"/>
        <v>-8.4349642455000104</v>
      </c>
    </row>
    <row r="52" spans="2:9" x14ac:dyDescent="0.25">
      <c r="B52" s="78" t="s">
        <v>16</v>
      </c>
      <c r="C52" s="76" t="s">
        <v>1</v>
      </c>
      <c r="D52" s="63">
        <v>14923.493022069997</v>
      </c>
      <c r="E52" s="77">
        <v>12128.39933746</v>
      </c>
      <c r="F52" s="63"/>
      <c r="G52" s="63">
        <f t="shared" si="5"/>
        <v>-2795.0936846099976</v>
      </c>
      <c r="I52" s="9">
        <f t="shared" si="6"/>
        <v>-2.7950936846099976</v>
      </c>
    </row>
    <row r="53" spans="2:9" x14ac:dyDescent="0.25">
      <c r="B53" s="75" t="s">
        <v>15</v>
      </c>
      <c r="C53" s="76" t="s">
        <v>1</v>
      </c>
      <c r="D53" s="63">
        <v>90944.234062709977</v>
      </c>
      <c r="E53" s="77">
        <v>88654.881511719999</v>
      </c>
      <c r="F53" s="63"/>
      <c r="G53" s="63">
        <f t="shared" si="5"/>
        <v>-2289.3525509899773</v>
      </c>
      <c r="I53" s="9">
        <f t="shared" si="6"/>
        <v>-2.2893525509899773</v>
      </c>
    </row>
    <row r="54" spans="2:9" x14ac:dyDescent="0.25">
      <c r="B54" s="78" t="s">
        <v>8</v>
      </c>
      <c r="C54" s="76" t="s">
        <v>1</v>
      </c>
      <c r="D54" s="63">
        <v>1654.4828882100001</v>
      </c>
      <c r="E54" s="77">
        <v>32.978235839999996</v>
      </c>
      <c r="F54" s="63"/>
      <c r="G54" s="63">
        <f t="shared" si="5"/>
        <v>-1621.50465237</v>
      </c>
      <c r="I54" s="9">
        <f t="shared" si="6"/>
        <v>-1.6215046523700001</v>
      </c>
    </row>
    <row r="55" spans="2:9" x14ac:dyDescent="0.25">
      <c r="B55" s="78" t="s">
        <v>11</v>
      </c>
      <c r="C55" s="76" t="s">
        <v>1</v>
      </c>
      <c r="D55" s="63">
        <v>1456.7177953</v>
      </c>
      <c r="E55" s="63"/>
      <c r="F55" s="63"/>
      <c r="G55" s="63">
        <f t="shared" si="5"/>
        <v>-1456.7177953</v>
      </c>
      <c r="I55" s="9">
        <f t="shared" si="6"/>
        <v>-1.4567177953000001</v>
      </c>
    </row>
    <row r="56" spans="2:9" x14ac:dyDescent="0.25">
      <c r="B56" s="78" t="s">
        <v>6</v>
      </c>
      <c r="C56" s="76" t="s">
        <v>1</v>
      </c>
      <c r="D56" s="63">
        <v>1104.0626645899999</v>
      </c>
      <c r="E56" s="77">
        <v>543.41297206000002</v>
      </c>
      <c r="F56" s="63"/>
      <c r="G56" s="63">
        <f t="shared" si="5"/>
        <v>-560.64969252999992</v>
      </c>
      <c r="I56" s="9">
        <f t="shared" si="6"/>
        <v>-0.56064969252999997</v>
      </c>
    </row>
    <row r="57" spans="2:9" x14ac:dyDescent="0.25">
      <c r="B57" s="78" t="s">
        <v>17</v>
      </c>
      <c r="C57" s="76" t="s">
        <v>1</v>
      </c>
      <c r="D57" s="63">
        <v>140.52764275000001</v>
      </c>
      <c r="E57" s="63"/>
      <c r="F57" s="63"/>
      <c r="G57" s="63">
        <f t="shared" si="5"/>
        <v>-140.52764275000001</v>
      </c>
      <c r="I57" s="9">
        <f t="shared" si="6"/>
        <v>-0.14052764275000001</v>
      </c>
    </row>
    <row r="58" spans="2:9" x14ac:dyDescent="0.25">
      <c r="B58" s="78" t="s">
        <v>21</v>
      </c>
      <c r="C58" s="76" t="s">
        <v>1</v>
      </c>
      <c r="D58" s="63">
        <v>42.003608810000003</v>
      </c>
      <c r="E58" s="77">
        <v>49.175147840000001</v>
      </c>
      <c r="F58" s="63"/>
      <c r="G58" s="63">
        <f t="shared" si="5"/>
        <v>7.1715390299999981</v>
      </c>
      <c r="I58" s="9">
        <f t="shared" si="6"/>
        <v>7.1715390299999984E-3</v>
      </c>
    </row>
    <row r="59" spans="2:9" x14ac:dyDescent="0.25">
      <c r="B59" s="78" t="s">
        <v>93</v>
      </c>
      <c r="C59" s="76" t="s">
        <v>1</v>
      </c>
      <c r="D59" s="63">
        <v>0</v>
      </c>
      <c r="E59" s="79">
        <v>1209.7970954800001</v>
      </c>
      <c r="F59" s="63"/>
      <c r="G59" s="63">
        <f t="shared" si="5"/>
        <v>1209.7970954800001</v>
      </c>
      <c r="I59" s="9">
        <f t="shared" si="6"/>
        <v>1.2097970954800001</v>
      </c>
    </row>
    <row r="60" spans="2:9" x14ac:dyDescent="0.25">
      <c r="B60" s="75" t="s">
        <v>73</v>
      </c>
      <c r="C60" s="76" t="s">
        <v>1</v>
      </c>
      <c r="D60" s="63"/>
      <c r="E60" s="77">
        <v>1426658.5066114399</v>
      </c>
      <c r="F60" s="63"/>
      <c r="G60" s="63">
        <f t="shared" si="5"/>
        <v>1426658.5066114399</v>
      </c>
      <c r="I60" s="9">
        <f t="shared" si="6"/>
        <v>1426.6585066114399</v>
      </c>
    </row>
    <row r="62" spans="2:9" x14ac:dyDescent="0.25">
      <c r="C62" s="21"/>
      <c r="D62" s="21"/>
      <c r="E62" s="21"/>
    </row>
    <row r="63" spans="2:9" x14ac:dyDescent="0.25">
      <c r="G63">
        <v>1000</v>
      </c>
    </row>
    <row r="64" spans="2:9" x14ac:dyDescent="0.25">
      <c r="C64" s="21"/>
      <c r="D64" s="21"/>
      <c r="E64" s="21"/>
    </row>
    <row r="70" spans="2:7" x14ac:dyDescent="0.25">
      <c r="B70" s="80" t="s">
        <v>4</v>
      </c>
      <c r="C70">
        <v>2698568.8342618505</v>
      </c>
      <c r="D70">
        <v>2734402.8301738705</v>
      </c>
    </row>
    <row r="71" spans="2:7" x14ac:dyDescent="0.25">
      <c r="B71" s="78" t="s">
        <v>73</v>
      </c>
      <c r="C71">
        <v>1426658.5066114399</v>
      </c>
      <c r="D71">
        <v>1471577.0819109308</v>
      </c>
      <c r="F71">
        <f>D71-C71</f>
        <v>44918.575299490942</v>
      </c>
      <c r="G71" s="9">
        <f>F71/$F$86</f>
        <v>44.918575299490939</v>
      </c>
    </row>
    <row r="72" spans="2:7" x14ac:dyDescent="0.25">
      <c r="B72" s="78" t="s">
        <v>10</v>
      </c>
      <c r="C72">
        <v>657637.24294191028</v>
      </c>
      <c r="D72">
        <v>648452.45187988004</v>
      </c>
      <c r="F72">
        <f t="shared" ref="F72:F84" si="7">D72-C72</f>
        <v>-9184.7910620302428</v>
      </c>
      <c r="G72" s="9">
        <f t="shared" ref="G72:G84" si="8">F72/$F$86</f>
        <v>-9.1847910620302429</v>
      </c>
    </row>
    <row r="73" spans="2:7" x14ac:dyDescent="0.25">
      <c r="B73" s="78" t="s">
        <v>7</v>
      </c>
      <c r="C73">
        <v>243078.30553772999</v>
      </c>
      <c r="D73">
        <v>249332.12251341995</v>
      </c>
      <c r="F73">
        <f t="shared" si="7"/>
        <v>6253.8169756899588</v>
      </c>
      <c r="G73" s="9">
        <f t="shared" si="8"/>
        <v>6.2538169756899586</v>
      </c>
    </row>
    <row r="74" spans="2:7" x14ac:dyDescent="0.25">
      <c r="B74" s="78" t="s">
        <v>14</v>
      </c>
      <c r="C74">
        <v>143459.74688724003</v>
      </c>
      <c r="D74">
        <v>142412.58627371993</v>
      </c>
      <c r="F74">
        <f t="shared" si="7"/>
        <v>-1047.1606135201</v>
      </c>
      <c r="G74" s="9">
        <f t="shared" si="8"/>
        <v>-1.0471606135200999</v>
      </c>
    </row>
    <row r="75" spans="2:7" x14ac:dyDescent="0.25">
      <c r="B75" s="78" t="s">
        <v>15</v>
      </c>
      <c r="C75">
        <v>88654.881511719999</v>
      </c>
      <c r="D75">
        <v>87012.558002839985</v>
      </c>
      <c r="F75">
        <f t="shared" si="7"/>
        <v>-1642.3235088800138</v>
      </c>
      <c r="G75" s="9">
        <f t="shared" si="8"/>
        <v>-1.6423235088800139</v>
      </c>
    </row>
    <row r="76" spans="2:7" x14ac:dyDescent="0.25">
      <c r="B76" s="78" t="s">
        <v>13</v>
      </c>
      <c r="C76">
        <v>46114.429820310004</v>
      </c>
      <c r="D76">
        <v>46236.948131289995</v>
      </c>
      <c r="F76">
        <f t="shared" si="7"/>
        <v>122.51831097999093</v>
      </c>
      <c r="G76" s="9">
        <f t="shared" si="8"/>
        <v>0.12251831097999093</v>
      </c>
    </row>
    <row r="77" spans="2:7" x14ac:dyDescent="0.25">
      <c r="B77" s="78" t="s">
        <v>5</v>
      </c>
      <c r="C77">
        <v>33919.821774460004</v>
      </c>
      <c r="D77">
        <v>33645.200842029997</v>
      </c>
      <c r="F77">
        <f t="shared" si="7"/>
        <v>-274.62093243000709</v>
      </c>
      <c r="G77" s="9">
        <f t="shared" si="8"/>
        <v>-0.27462093243000707</v>
      </c>
    </row>
    <row r="78" spans="2:7" x14ac:dyDescent="0.25">
      <c r="B78" s="78" t="s">
        <v>9</v>
      </c>
      <c r="C78">
        <v>25422.902931800003</v>
      </c>
      <c r="D78">
        <v>22070.587891439998</v>
      </c>
      <c r="F78">
        <f t="shared" si="7"/>
        <v>-3352.3150403600048</v>
      </c>
      <c r="G78" s="9">
        <f t="shared" si="8"/>
        <v>-3.3523150403600046</v>
      </c>
    </row>
    <row r="79" spans="2:7" x14ac:dyDescent="0.25">
      <c r="B79" s="78" t="s">
        <v>12</v>
      </c>
      <c r="C79">
        <v>19659.233456559996</v>
      </c>
      <c r="D79">
        <v>19074.477337679997</v>
      </c>
      <c r="F79">
        <f t="shared" si="7"/>
        <v>-584.75611887999912</v>
      </c>
      <c r="G79" s="9">
        <f t="shared" si="8"/>
        <v>-0.58475611887999912</v>
      </c>
    </row>
    <row r="80" spans="2:7" x14ac:dyDescent="0.25">
      <c r="B80" s="78" t="s">
        <v>16</v>
      </c>
      <c r="C80">
        <v>12128.39933746</v>
      </c>
      <c r="D80">
        <v>12940.47885277</v>
      </c>
      <c r="F80">
        <f t="shared" si="7"/>
        <v>812.07951531000072</v>
      </c>
      <c r="G80" s="9">
        <f t="shared" si="8"/>
        <v>0.81207951531000067</v>
      </c>
    </row>
    <row r="81" spans="2:7" x14ac:dyDescent="0.25">
      <c r="B81" s="78" t="s">
        <v>93</v>
      </c>
      <c r="C81">
        <v>1209.7970954800001</v>
      </c>
      <c r="D81">
        <v>1183.9696305799998</v>
      </c>
      <c r="F81">
        <f t="shared" si="7"/>
        <v>-25.827464900000223</v>
      </c>
      <c r="G81" s="9">
        <f t="shared" si="8"/>
        <v>-2.5827464900000222E-2</v>
      </c>
    </row>
    <row r="82" spans="2:7" x14ac:dyDescent="0.25">
      <c r="B82" s="78" t="s">
        <v>6</v>
      </c>
      <c r="C82">
        <v>543.41297206000002</v>
      </c>
      <c r="D82">
        <v>380.46617106999997</v>
      </c>
      <c r="F82">
        <f t="shared" si="7"/>
        <v>-162.94680099000004</v>
      </c>
      <c r="G82" s="9">
        <f t="shared" si="8"/>
        <v>-0.16294680099000003</v>
      </c>
    </row>
    <row r="83" spans="2:7" x14ac:dyDescent="0.25">
      <c r="B83" s="78" t="s">
        <v>21</v>
      </c>
      <c r="C83">
        <v>49.175147840000001</v>
      </c>
      <c r="D83">
        <v>50.287806689999996</v>
      </c>
      <c r="F83">
        <f t="shared" si="7"/>
        <v>1.1126588499999954</v>
      </c>
      <c r="G83" s="9">
        <f t="shared" si="8"/>
        <v>1.1126588499999954E-3</v>
      </c>
    </row>
    <row r="84" spans="2:7" x14ac:dyDescent="0.25">
      <c r="B84" s="78" t="s">
        <v>8</v>
      </c>
      <c r="C84">
        <v>32.978235839999996</v>
      </c>
      <c r="D84">
        <v>33.612929530000002</v>
      </c>
      <c r="F84">
        <f t="shared" si="7"/>
        <v>0.63469369000000597</v>
      </c>
      <c r="G84" s="9">
        <f t="shared" si="8"/>
        <v>6.34693690000006E-4</v>
      </c>
    </row>
    <row r="86" spans="2:7" x14ac:dyDescent="0.25">
      <c r="F86">
        <v>1000</v>
      </c>
    </row>
  </sheetData>
  <autoFilter ref="B6:E21">
    <sortState ref="B3:E17">
      <sortCondition ref="E2:E17"/>
    </sortState>
  </autoFilter>
  <sortState ref="B71:D86">
    <sortCondition descending="1" ref="D71:D86"/>
  </sortState>
  <pageMargins left="0.7" right="0.7" top="0.75" bottom="0.75" header="0.3" footer="0.3"/>
  <pageSetup paperSize="9" orientation="portrait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="115" zoomScaleNormal="115" workbookViewId="0">
      <selection activeCell="B21" sqref="B21"/>
    </sheetView>
  </sheetViews>
  <sheetFormatPr defaultRowHeight="15" x14ac:dyDescent="0.25"/>
  <cols>
    <col min="2" max="2" width="74.7109375" customWidth="1"/>
    <col min="3" max="3" width="12.7109375" customWidth="1"/>
    <col min="4" max="4" width="12" customWidth="1"/>
    <col min="5" max="5" width="13.140625" customWidth="1"/>
    <col min="6" max="6" width="11.28515625" customWidth="1"/>
    <col min="7" max="7" width="15.140625" customWidth="1"/>
    <col min="8" max="8" width="13.42578125" customWidth="1"/>
    <col min="9" max="9" width="37" customWidth="1"/>
    <col min="10" max="10" width="12" bestFit="1" customWidth="1"/>
    <col min="16" max="16" width="13.28515625" customWidth="1"/>
    <col min="17" max="17" width="10" customWidth="1"/>
  </cols>
  <sheetData>
    <row r="1" spans="1:8" ht="15.75" customHeight="1" x14ac:dyDescent="0.25">
      <c r="A1" t="s">
        <v>187</v>
      </c>
      <c r="C1" s="21"/>
      <c r="D1" s="21"/>
      <c r="E1" s="21"/>
    </row>
    <row r="4" spans="1:8" ht="23.25" x14ac:dyDescent="0.25">
      <c r="B4" s="25" t="s">
        <v>18</v>
      </c>
      <c r="C4" s="18" t="s">
        <v>62</v>
      </c>
      <c r="D4" s="2" t="s">
        <v>69</v>
      </c>
      <c r="E4" s="2" t="s">
        <v>77</v>
      </c>
      <c r="F4" s="2" t="s">
        <v>91</v>
      </c>
      <c r="G4" s="20"/>
    </row>
    <row r="5" spans="1:8" x14ac:dyDescent="0.25">
      <c r="B5" s="17" t="s">
        <v>49</v>
      </c>
      <c r="C5" s="32">
        <f t="shared" ref="C5:C11" si="0">(F5-E5)/1000</f>
        <v>-1.2741882862899998</v>
      </c>
      <c r="D5" s="13">
        <v>2442.0665601199994</v>
      </c>
      <c r="E5" s="13">
        <v>2323.9338963099999</v>
      </c>
      <c r="F5" s="13">
        <v>1049.7456100200002</v>
      </c>
    </row>
    <row r="6" spans="1:8" x14ac:dyDescent="0.25">
      <c r="B6" s="19" t="s">
        <v>50</v>
      </c>
      <c r="C6" s="32">
        <f>(F6-E6)/1000</f>
        <v>-3.956000592999976E-2</v>
      </c>
      <c r="D6" s="13">
        <v>1706.14044537</v>
      </c>
      <c r="E6" s="13">
        <v>1412.7973975099997</v>
      </c>
      <c r="F6" s="13">
        <v>1373.2373915799999</v>
      </c>
      <c r="G6" s="9">
        <v>134.28737290000001</v>
      </c>
      <c r="H6">
        <f>(G6-F6)/1000</f>
        <v>-1.2389500186799998</v>
      </c>
    </row>
    <row r="7" spans="1:8" x14ac:dyDescent="0.25">
      <c r="B7" s="19" t="s">
        <v>39</v>
      </c>
      <c r="C7" s="32">
        <f t="shared" si="0"/>
        <v>-5.2669302385699996</v>
      </c>
      <c r="D7" s="13">
        <v>10246.651834190005</v>
      </c>
      <c r="E7" s="13">
        <v>9561.7722548700003</v>
      </c>
      <c r="F7" s="13">
        <v>4294.842016300001</v>
      </c>
      <c r="G7" s="9">
        <v>21.714968719999998</v>
      </c>
      <c r="H7">
        <f t="shared" ref="H7:H10" si="1">(G7-F7)/1000</f>
        <v>-4.2731270475800009</v>
      </c>
    </row>
    <row r="8" spans="1:8" x14ac:dyDescent="0.25">
      <c r="B8" s="17" t="s">
        <v>48</v>
      </c>
      <c r="C8" s="32">
        <f t="shared" si="0"/>
        <v>-5.9739712365799971</v>
      </c>
      <c r="D8" s="13">
        <v>10905.356975049997</v>
      </c>
      <c r="E8" s="13">
        <v>10728.598015409998</v>
      </c>
      <c r="F8" s="13">
        <v>4754.6267788300011</v>
      </c>
    </row>
    <row r="9" spans="1:8" x14ac:dyDescent="0.25">
      <c r="B9" s="19" t="s">
        <v>42</v>
      </c>
      <c r="C9" s="32">
        <f t="shared" si="0"/>
        <v>-4.6897705894200081</v>
      </c>
      <c r="D9" s="13">
        <v>35525.224648609998</v>
      </c>
      <c r="E9" s="13">
        <v>33522.97242743001</v>
      </c>
      <c r="F9" s="13">
        <v>28833.201838010002</v>
      </c>
    </row>
    <row r="10" spans="1:8" x14ac:dyDescent="0.25">
      <c r="B10" s="11" t="s">
        <v>81</v>
      </c>
      <c r="C10" s="32">
        <f>(F10-E10)/1000</f>
        <v>70.722596923609984</v>
      </c>
      <c r="D10" s="24">
        <v>0</v>
      </c>
      <c r="E10" s="34">
        <v>2622.96882293</v>
      </c>
      <c r="F10" s="34">
        <v>73345.565746539971</v>
      </c>
      <c r="G10" s="72">
        <v>217672.25804934005</v>
      </c>
      <c r="H10">
        <f t="shared" si="1"/>
        <v>144.32669230280007</v>
      </c>
    </row>
    <row r="11" spans="1:8" x14ac:dyDescent="0.25">
      <c r="B11" s="19" t="s">
        <v>47</v>
      </c>
      <c r="C11" s="32">
        <f t="shared" si="0"/>
        <v>-25.755878259679985</v>
      </c>
      <c r="D11" s="13">
        <v>80246.616145790002</v>
      </c>
      <c r="E11" s="13">
        <v>102627.68795168</v>
      </c>
      <c r="F11" s="13">
        <v>76871.80969200001</v>
      </c>
    </row>
    <row r="16" spans="1:8" x14ac:dyDescent="0.25">
      <c r="B16" s="80" t="s">
        <v>18</v>
      </c>
      <c r="C16" s="81" t="s">
        <v>1</v>
      </c>
      <c r="D16" s="64">
        <v>130805.20714658008</v>
      </c>
      <c r="E16" s="64">
        <v>141072.05660913</v>
      </c>
      <c r="F16" s="64">
        <v>162800.73076613998</v>
      </c>
      <c r="G16" s="64">
        <v>190523.02907327996</v>
      </c>
      <c r="H16" s="64">
        <v>217828.26039096006</v>
      </c>
    </row>
    <row r="20" spans="2:10" x14ac:dyDescent="0.25">
      <c r="B20" s="78" t="s">
        <v>11</v>
      </c>
      <c r="C20" s="76" t="s">
        <v>1</v>
      </c>
      <c r="D20" s="63">
        <v>67314.141580079988</v>
      </c>
      <c r="E20" s="63">
        <v>80246.616145790002</v>
      </c>
      <c r="F20" s="63">
        <v>102627.68795168</v>
      </c>
      <c r="G20" s="63">
        <v>76871.80969200001</v>
      </c>
      <c r="H20" s="63"/>
      <c r="I20" s="4">
        <v>-67314.141580079988</v>
      </c>
      <c r="J20" s="9">
        <v>-67.31414158007999</v>
      </c>
    </row>
    <row r="21" spans="2:10" x14ac:dyDescent="0.25">
      <c r="B21" s="78" t="s">
        <v>5</v>
      </c>
      <c r="C21" s="76" t="s">
        <v>1</v>
      </c>
      <c r="D21" s="63">
        <v>36012.625635369994</v>
      </c>
      <c r="E21" s="63">
        <v>35525.224648609998</v>
      </c>
      <c r="F21" s="63">
        <v>33522.97242743001</v>
      </c>
      <c r="G21" s="63">
        <v>28833.201838010002</v>
      </c>
      <c r="H21" s="63"/>
      <c r="I21" s="4">
        <v>-36012.625635369994</v>
      </c>
      <c r="J21" s="9">
        <v>-36.012625635369993</v>
      </c>
    </row>
    <row r="22" spans="2:10" x14ac:dyDescent="0.25">
      <c r="B22" s="78" t="s">
        <v>20</v>
      </c>
      <c r="C22" s="76" t="s">
        <v>1</v>
      </c>
      <c r="D22" s="63">
        <v>12167.33698416</v>
      </c>
      <c r="E22" s="63">
        <v>10905.356975049997</v>
      </c>
      <c r="F22" s="63">
        <v>10728.598015409998</v>
      </c>
      <c r="G22" s="63">
        <v>4754.6267788300011</v>
      </c>
      <c r="H22" s="63"/>
      <c r="I22" s="4">
        <v>-12167.33698416</v>
      </c>
      <c r="J22" s="9">
        <v>-12.16733698416</v>
      </c>
    </row>
    <row r="23" spans="2:10" x14ac:dyDescent="0.25">
      <c r="B23" s="78" t="s">
        <v>19</v>
      </c>
      <c r="C23" s="76" t="s">
        <v>1</v>
      </c>
      <c r="D23" s="63">
        <v>2414.1717670599996</v>
      </c>
      <c r="E23" s="63">
        <v>2442.0665601199994</v>
      </c>
      <c r="F23" s="63">
        <v>2323.9338963099999</v>
      </c>
      <c r="G23" s="63">
        <v>1049.7456100200002</v>
      </c>
      <c r="H23" s="63"/>
      <c r="I23" s="4">
        <v>-2414.1717670599996</v>
      </c>
      <c r="J23" s="9">
        <v>-2.4141717670599996</v>
      </c>
    </row>
    <row r="24" spans="2:10" x14ac:dyDescent="0.25">
      <c r="B24" s="78" t="s">
        <v>15</v>
      </c>
      <c r="C24" s="76" t="s">
        <v>1</v>
      </c>
      <c r="D24" s="63">
        <v>11199.689072520003</v>
      </c>
      <c r="E24" s="63">
        <v>10246.651834190005</v>
      </c>
      <c r="F24" s="63">
        <v>9561.7722548700003</v>
      </c>
      <c r="G24" s="63">
        <v>4294.842016300001</v>
      </c>
      <c r="H24" s="79">
        <v>21.714968719999998</v>
      </c>
      <c r="I24" s="4">
        <v>-11177.974103800003</v>
      </c>
      <c r="J24" s="9">
        <v>-11.177974103800002</v>
      </c>
    </row>
    <row r="25" spans="2:10" x14ac:dyDescent="0.25">
      <c r="B25" s="78" t="s">
        <v>6</v>
      </c>
      <c r="C25" s="76" t="s">
        <v>1</v>
      </c>
      <c r="D25" s="63">
        <v>1697.2421073899998</v>
      </c>
      <c r="E25" s="63">
        <v>1706.14044537</v>
      </c>
      <c r="F25" s="63">
        <v>1412.7973975099997</v>
      </c>
      <c r="G25" s="63">
        <v>1373.2373915799999</v>
      </c>
      <c r="H25" s="79">
        <v>134.28737290000001</v>
      </c>
      <c r="I25" s="4">
        <v>-1562.9547344899997</v>
      </c>
      <c r="J25" s="9">
        <v>-1.5629547344899997</v>
      </c>
    </row>
    <row r="26" spans="2:10" x14ac:dyDescent="0.25">
      <c r="B26" s="78" t="s">
        <v>79</v>
      </c>
      <c r="C26" s="76" t="s">
        <v>1</v>
      </c>
      <c r="D26" s="63"/>
      <c r="E26" s="63" t="s">
        <v>78</v>
      </c>
      <c r="F26" s="63">
        <v>2622.96882293</v>
      </c>
      <c r="G26" s="63">
        <v>73345.565746539971</v>
      </c>
      <c r="H26" s="79">
        <v>217672.25804934005</v>
      </c>
      <c r="I26" s="4">
        <v>217672.25804934005</v>
      </c>
      <c r="J26" s="9">
        <v>217.67225804934006</v>
      </c>
    </row>
    <row r="28" spans="2:10" x14ac:dyDescent="0.25">
      <c r="H28" s="4"/>
    </row>
    <row r="29" spans="2:10" x14ac:dyDescent="0.25">
      <c r="H29" s="4"/>
    </row>
    <row r="30" spans="2:10" x14ac:dyDescent="0.25">
      <c r="H30" s="4"/>
    </row>
    <row r="32" spans="2:10" x14ac:dyDescent="0.25">
      <c r="B32" s="80" t="s">
        <v>18</v>
      </c>
      <c r="C32">
        <v>217828.26039096006</v>
      </c>
      <c r="D32" s="64">
        <v>259294.68132823022</v>
      </c>
    </row>
    <row r="33" spans="2:7" x14ac:dyDescent="0.25">
      <c r="B33" s="78" t="s">
        <v>6</v>
      </c>
      <c r="C33" s="9">
        <v>134.28737290000001</v>
      </c>
      <c r="D33" s="63">
        <v>13.20828756</v>
      </c>
      <c r="F33" s="4">
        <f>D33-C33</f>
        <v>-121.07908534000001</v>
      </c>
      <c r="G33">
        <f>F33/$F$37</f>
        <v>-0.12107908534</v>
      </c>
    </row>
    <row r="34" spans="2:7" x14ac:dyDescent="0.25">
      <c r="B34" s="78" t="s">
        <v>79</v>
      </c>
      <c r="C34" s="9">
        <v>217672.25804934005</v>
      </c>
      <c r="D34" s="63">
        <v>259259.51835093024</v>
      </c>
      <c r="F34" s="4">
        <f t="shared" ref="F34:F35" si="2">D34-C34</f>
        <v>41587.260301590199</v>
      </c>
      <c r="G34">
        <f t="shared" ref="G34:G35" si="3">F34/$F$37</f>
        <v>41.587260301590199</v>
      </c>
    </row>
    <row r="35" spans="2:7" x14ac:dyDescent="0.25">
      <c r="B35" s="78" t="s">
        <v>15</v>
      </c>
      <c r="C35" s="9">
        <v>21.714968719999998</v>
      </c>
      <c r="D35" s="63">
        <v>21.954689740000003</v>
      </c>
      <c r="F35" s="4">
        <f t="shared" si="2"/>
        <v>0.23972102000000461</v>
      </c>
      <c r="G35">
        <f t="shared" si="3"/>
        <v>2.3972102000000461E-4</v>
      </c>
    </row>
    <row r="36" spans="2:7" x14ac:dyDescent="0.25">
      <c r="B36" s="78"/>
      <c r="D36" s="63"/>
    </row>
    <row r="37" spans="2:7" x14ac:dyDescent="0.25">
      <c r="F37">
        <v>1000</v>
      </c>
    </row>
    <row r="39" spans="2:7" x14ac:dyDescent="0.25">
      <c r="B39" s="78" t="s">
        <v>6</v>
      </c>
      <c r="C39" s="9">
        <v>134.28737290000001</v>
      </c>
      <c r="D39" s="63">
        <v>13.20828756</v>
      </c>
      <c r="E39">
        <v>3</v>
      </c>
      <c r="F39" s="4">
        <f>D39-C39</f>
        <v>-121.07908534000001</v>
      </c>
      <c r="G39">
        <f>F39/$F$37</f>
        <v>-0.12107908534</v>
      </c>
    </row>
    <row r="40" spans="2:7" x14ac:dyDescent="0.25">
      <c r="B40" s="78" t="s">
        <v>15</v>
      </c>
      <c r="C40" s="9">
        <v>21.714968719999998</v>
      </c>
      <c r="D40" s="63">
        <v>21.954689740000003</v>
      </c>
      <c r="E40">
        <v>2</v>
      </c>
      <c r="F40" s="4">
        <f>D40-C40</f>
        <v>0.23972102000000461</v>
      </c>
      <c r="G40">
        <f>F40/$F$37</f>
        <v>2.3972102000000461E-4</v>
      </c>
    </row>
    <row r="41" spans="2:7" x14ac:dyDescent="0.25">
      <c r="B41" s="78" t="s">
        <v>79</v>
      </c>
      <c r="C41" s="9">
        <v>217672.25804934005</v>
      </c>
      <c r="D41" s="63">
        <v>259259.51835093024</v>
      </c>
      <c r="E41">
        <v>1</v>
      </c>
      <c r="F41" s="4">
        <f>D41-C41</f>
        <v>41587.260301590199</v>
      </c>
      <c r="G41">
        <f>F41/$F$37</f>
        <v>41.587260301590199</v>
      </c>
    </row>
  </sheetData>
  <sortState ref="B39:G41">
    <sortCondition ref="D39:D41"/>
  </sortState>
  <pageMargins left="0.7" right="0.7" top="0.75" bottom="0.75" header="0.3" footer="0.3"/>
  <pageSetup paperSize="9" orientation="portrait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workbookViewId="0">
      <selection activeCell="L5" sqref="L5"/>
    </sheetView>
  </sheetViews>
  <sheetFormatPr defaultRowHeight="15" x14ac:dyDescent="0.25"/>
  <sheetData>
    <row r="1" spans="1:12" x14ac:dyDescent="0.25">
      <c r="A1" s="26" t="s">
        <v>63</v>
      </c>
    </row>
    <row r="2" spans="1:12" x14ac:dyDescent="0.25">
      <c r="A2" s="27" t="s">
        <v>64</v>
      </c>
    </row>
    <row r="4" spans="1:12" x14ac:dyDescent="0.25">
      <c r="A4" s="5"/>
      <c r="B4" s="5"/>
      <c r="C4" s="2" t="s">
        <v>34</v>
      </c>
      <c r="D4" s="2" t="s">
        <v>35</v>
      </c>
      <c r="E4" s="2" t="s">
        <v>36</v>
      </c>
      <c r="F4" s="2" t="s">
        <v>37</v>
      </c>
      <c r="G4" s="2" t="s">
        <v>43</v>
      </c>
      <c r="H4" s="2" t="s">
        <v>61</v>
      </c>
      <c r="I4" s="2" t="s">
        <v>69</v>
      </c>
      <c r="J4" s="2" t="s">
        <v>77</v>
      </c>
      <c r="K4" s="2" t="s">
        <v>91</v>
      </c>
      <c r="L4" t="s">
        <v>184</v>
      </c>
    </row>
    <row r="5" spans="1:12" x14ac:dyDescent="0.25">
      <c r="A5" t="s">
        <v>58</v>
      </c>
      <c r="B5" t="s">
        <v>3</v>
      </c>
      <c r="C5">
        <v>5612.52857752</v>
      </c>
      <c r="D5">
        <v>5778.4831515100004</v>
      </c>
      <c r="E5">
        <v>5902.2714851600003</v>
      </c>
      <c r="F5">
        <v>4266.5586575799998</v>
      </c>
      <c r="G5" s="28">
        <v>4410.94241788</v>
      </c>
      <c r="H5">
        <v>4477.2350053700002</v>
      </c>
      <c r="I5">
        <v>4372.5216751199996</v>
      </c>
      <c r="J5">
        <v>4245.1853964900001</v>
      </c>
      <c r="K5">
        <v>4334.9742609300001</v>
      </c>
      <c r="L5">
        <v>3478.6143729999999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5"/>
  <sheetViews>
    <sheetView zoomScaleNormal="100" workbookViewId="0">
      <selection activeCell="S19" sqref="S19"/>
    </sheetView>
  </sheetViews>
  <sheetFormatPr defaultRowHeight="15" x14ac:dyDescent="0.25"/>
  <cols>
    <col min="1" max="1" width="9.140625" style="83"/>
    <col min="2" max="2" width="32.42578125" customWidth="1"/>
    <col min="3" max="3" width="13.42578125" customWidth="1"/>
    <col min="4" max="4" width="12.5703125" customWidth="1"/>
    <col min="5" max="5" width="13.140625" customWidth="1"/>
    <col min="6" max="6" width="12.5703125" customWidth="1"/>
    <col min="7" max="7" width="13.140625" customWidth="1"/>
    <col min="8" max="8" width="12.5703125" customWidth="1"/>
    <col min="9" max="9" width="11.5703125" customWidth="1"/>
    <col min="10" max="10" width="11.5703125" style="83" customWidth="1"/>
    <col min="11" max="11" width="9.140625" style="83"/>
    <col min="12" max="12" width="11.5703125" style="83" bestFit="1" customWidth="1"/>
    <col min="13" max="13" width="11.28515625" style="83" customWidth="1"/>
    <col min="14" max="14" width="9.140625" style="83"/>
    <col min="15" max="15" width="14.5703125" style="83" customWidth="1"/>
    <col min="16" max="32" width="9.140625" style="83"/>
  </cols>
  <sheetData>
    <row r="1" spans="1:32" x14ac:dyDescent="0.25">
      <c r="A1" s="89" t="s">
        <v>297</v>
      </c>
    </row>
    <row r="2" spans="1:32" x14ac:dyDescent="0.25">
      <c r="A2" s="83" t="s">
        <v>86</v>
      </c>
    </row>
    <row r="3" spans="1:32" x14ac:dyDescent="0.25">
      <c r="A3" s="89" t="s">
        <v>308</v>
      </c>
    </row>
    <row r="4" spans="1:32" x14ac:dyDescent="0.25">
      <c r="A4" s="89" t="s">
        <v>306</v>
      </c>
    </row>
    <row r="7" spans="1:32" x14ac:dyDescent="0.25">
      <c r="A7" s="125"/>
      <c r="B7" s="125"/>
      <c r="C7" s="125" t="s">
        <v>185</v>
      </c>
      <c r="D7" s="83" t="s">
        <v>188</v>
      </c>
      <c r="E7" s="83" t="s">
        <v>189</v>
      </c>
      <c r="F7" s="83" t="s">
        <v>191</v>
      </c>
      <c r="G7" s="83" t="s">
        <v>196</v>
      </c>
      <c r="H7" s="83" t="s">
        <v>198</v>
      </c>
      <c r="I7" s="83" t="s">
        <v>290</v>
      </c>
      <c r="J7" s="83" t="s">
        <v>292</v>
      </c>
      <c r="K7" s="83" t="s">
        <v>303</v>
      </c>
      <c r="L7" s="83" t="s">
        <v>307</v>
      </c>
      <c r="M7" s="83" t="s">
        <v>312</v>
      </c>
      <c r="N7" s="83" t="s">
        <v>321</v>
      </c>
      <c r="O7" s="83" t="s">
        <v>323</v>
      </c>
      <c r="P7" s="83" t="s">
        <v>325</v>
      </c>
      <c r="Q7" s="83" t="s">
        <v>330</v>
      </c>
      <c r="R7" s="83" t="s">
        <v>336</v>
      </c>
      <c r="S7" s="83" t="s">
        <v>345</v>
      </c>
    </row>
    <row r="8" spans="1:32" x14ac:dyDescent="0.25">
      <c r="A8" s="125"/>
      <c r="B8" s="125" t="s">
        <v>54</v>
      </c>
      <c r="C8" s="131">
        <v>634.32853611635971</v>
      </c>
      <c r="D8" s="128">
        <v>653.9</v>
      </c>
      <c r="E8" s="128">
        <v>713.48142631858002</v>
      </c>
      <c r="F8" s="128">
        <v>739.66426010111013</v>
      </c>
      <c r="G8" s="128">
        <v>681.95624832864996</v>
      </c>
      <c r="H8" s="128">
        <v>718</v>
      </c>
      <c r="I8" s="128">
        <v>660.99560802156009</v>
      </c>
      <c r="J8" s="128">
        <v>645.75374258394004</v>
      </c>
      <c r="K8" s="128">
        <v>949.50433857167502</v>
      </c>
      <c r="L8" s="128">
        <v>1100.99007541379</v>
      </c>
      <c r="M8" s="128">
        <v>1131.2015012269198</v>
      </c>
      <c r="N8" s="128">
        <v>1135.1005068868501</v>
      </c>
      <c r="O8" s="72">
        <v>1498.46171457728</v>
      </c>
      <c r="P8" s="72">
        <v>1695.0004688086301</v>
      </c>
      <c r="Q8" s="128">
        <v>1847.2736599996099</v>
      </c>
      <c r="R8" s="128">
        <v>1967.0209889766152</v>
      </c>
      <c r="S8" s="128">
        <v>1701.38575272141</v>
      </c>
    </row>
    <row r="9" spans="1:32" x14ac:dyDescent="0.25">
      <c r="A9" s="126"/>
      <c r="B9" s="126" t="s">
        <v>57</v>
      </c>
      <c r="C9" s="132">
        <v>1099.5755323247199</v>
      </c>
      <c r="D9" s="128">
        <v>903.54442810269029</v>
      </c>
      <c r="E9" s="128">
        <v>857.9178102652254</v>
      </c>
      <c r="F9" s="128">
        <v>741.75386029454182</v>
      </c>
      <c r="G9" s="128">
        <v>712.42068447574479</v>
      </c>
      <c r="H9" s="128">
        <v>726.79999999999973</v>
      </c>
      <c r="I9" s="128">
        <v>1021.4940192304559</v>
      </c>
      <c r="J9" s="128">
        <v>1213.5111698240894</v>
      </c>
      <c r="K9" s="128">
        <v>786.93603625491801</v>
      </c>
      <c r="L9" s="128">
        <v>866.69867514119244</v>
      </c>
      <c r="M9" s="128">
        <v>970.44848933409367</v>
      </c>
      <c r="N9" s="128">
        <v>1010.2546886308221</v>
      </c>
      <c r="O9" s="128">
        <v>1072.2243299011898</v>
      </c>
      <c r="P9" s="128">
        <v>1157.3</v>
      </c>
      <c r="Q9" s="128">
        <v>1225.390206378908</v>
      </c>
      <c r="R9" s="128">
        <v>1378.4617689822676</v>
      </c>
      <c r="S9" s="128">
        <v>1639.6142472785905</v>
      </c>
    </row>
    <row r="10" spans="1:32" x14ac:dyDescent="0.25">
      <c r="A10" s="125"/>
      <c r="B10" s="125" t="s">
        <v>60</v>
      </c>
      <c r="C10" s="131">
        <v>934.80228475734998</v>
      </c>
      <c r="D10" s="127">
        <v>903.5749671252006</v>
      </c>
      <c r="E10" s="128">
        <v>880.99670494459997</v>
      </c>
      <c r="F10" s="127">
        <v>873.44572016636005</v>
      </c>
      <c r="G10" s="127">
        <v>889.55752228254005</v>
      </c>
      <c r="H10" s="128">
        <v>938.8</v>
      </c>
      <c r="I10" s="127">
        <v>937.3850071969398</v>
      </c>
      <c r="J10" s="127">
        <v>953.51324558961994</v>
      </c>
      <c r="K10" s="128">
        <v>947.54409791725004</v>
      </c>
      <c r="L10" s="128">
        <v>933.46196833242004</v>
      </c>
      <c r="M10" s="128">
        <v>929.46020763057004</v>
      </c>
      <c r="N10" s="128">
        <v>951.49971941976003</v>
      </c>
      <c r="O10" s="72">
        <v>947.07956441517001</v>
      </c>
      <c r="P10" s="72">
        <v>987.27364184473106</v>
      </c>
      <c r="Q10" s="128">
        <v>1056.0050627743799</v>
      </c>
      <c r="R10" s="128">
        <v>1110.5060446715504</v>
      </c>
      <c r="S10" s="128">
        <v>1248</v>
      </c>
    </row>
    <row r="11" spans="1:32" x14ac:dyDescent="0.25">
      <c r="A11" s="125"/>
      <c r="B11" s="125" t="s">
        <v>55</v>
      </c>
      <c r="C11" s="131">
        <v>606.13782384574995</v>
      </c>
      <c r="D11" s="128">
        <v>605.29999999999995</v>
      </c>
      <c r="E11" s="128">
        <v>639.77740399259994</v>
      </c>
      <c r="F11" s="128">
        <v>675.89493995880014</v>
      </c>
      <c r="G11" s="128">
        <v>700.66880392902999</v>
      </c>
      <c r="H11" s="128">
        <v>690.5</v>
      </c>
      <c r="I11" s="128">
        <v>807.7799552570001</v>
      </c>
      <c r="J11" s="128">
        <v>840.00253943044004</v>
      </c>
      <c r="K11" s="128">
        <v>857.18172516540994</v>
      </c>
      <c r="L11" s="128">
        <v>757.74747857031991</v>
      </c>
      <c r="M11" s="128">
        <v>797.40709088053995</v>
      </c>
      <c r="N11" s="128">
        <v>869.17282756475004</v>
      </c>
      <c r="O11" s="72">
        <v>847.66045113620805</v>
      </c>
      <c r="P11" s="72">
        <v>965.69547233817298</v>
      </c>
      <c r="Q11" s="128">
        <v>1005.1584389882801</v>
      </c>
      <c r="R11" s="128">
        <v>1070.9186580509156</v>
      </c>
      <c r="S11" s="128">
        <v>930</v>
      </c>
    </row>
    <row r="12" spans="1:32" s="123" customFormat="1" x14ac:dyDescent="0.25">
      <c r="A12" s="126"/>
      <c r="B12" s="126" t="s">
        <v>72</v>
      </c>
      <c r="C12" s="132"/>
      <c r="D12" s="128">
        <v>84</v>
      </c>
      <c r="E12" s="128">
        <v>96.9</v>
      </c>
      <c r="F12" s="128">
        <v>98.2</v>
      </c>
      <c r="G12" s="128">
        <v>100.4</v>
      </c>
      <c r="H12" s="128">
        <v>117.9</v>
      </c>
      <c r="I12" s="128">
        <v>226</v>
      </c>
      <c r="J12" s="128">
        <v>447.82081213252997</v>
      </c>
      <c r="K12" s="128">
        <v>156.51054501281001</v>
      </c>
      <c r="L12" s="128">
        <v>262.14969595845997</v>
      </c>
      <c r="M12" s="128">
        <v>357.05901572285001</v>
      </c>
      <c r="N12" s="128">
        <v>330.08373999103003</v>
      </c>
      <c r="O12" s="72">
        <v>491.75752603952998</v>
      </c>
      <c r="P12" s="72">
        <v>674.10834033675008</v>
      </c>
      <c r="Q12" s="128">
        <v>980.55675171734993</v>
      </c>
      <c r="R12" s="128">
        <v>863.99743684386976</v>
      </c>
      <c r="S12" s="128">
        <v>980</v>
      </c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</row>
    <row r="13" spans="1:32" x14ac:dyDescent="0.25">
      <c r="A13" s="125"/>
      <c r="B13" s="125" t="s">
        <v>56</v>
      </c>
      <c r="C13" s="131">
        <v>139.81353567834</v>
      </c>
      <c r="D13" s="128">
        <v>147.383393326109</v>
      </c>
      <c r="E13" s="128">
        <v>163.77064449604501</v>
      </c>
      <c r="F13" s="128">
        <v>174.07846054383799</v>
      </c>
      <c r="G13" s="128">
        <v>167.16981301129499</v>
      </c>
      <c r="H13" s="128">
        <v>180.6</v>
      </c>
      <c r="I13" s="128">
        <v>192.07669125406201</v>
      </c>
      <c r="J13" s="128">
        <v>47.552070258150003</v>
      </c>
      <c r="K13" s="128">
        <v>51.737763956389706</v>
      </c>
      <c r="L13" s="128">
        <v>83.765005536229594</v>
      </c>
      <c r="M13" s="128">
        <v>123.81515329704899</v>
      </c>
      <c r="N13" s="128">
        <v>127.915125647496</v>
      </c>
      <c r="O13" s="72">
        <v>426.96259667477699</v>
      </c>
      <c r="P13" s="72">
        <v>512.85851325235899</v>
      </c>
      <c r="Q13" s="128">
        <v>581.09866414217606</v>
      </c>
      <c r="R13" s="128">
        <v>607.13151707457837</v>
      </c>
      <c r="S13" s="128">
        <v>240</v>
      </c>
    </row>
    <row r="14" spans="1:32" x14ac:dyDescent="0.25">
      <c r="A14" s="125"/>
      <c r="B14" s="125" t="s">
        <v>71</v>
      </c>
      <c r="C14" s="131">
        <v>189.22932408023001</v>
      </c>
      <c r="D14" s="127">
        <v>223.7</v>
      </c>
      <c r="E14" s="128">
        <v>215.49709218881006</v>
      </c>
      <c r="F14" s="127">
        <v>204.25030744413007</v>
      </c>
      <c r="G14" s="127">
        <v>221.15607375524999</v>
      </c>
      <c r="H14" s="128">
        <v>244.2</v>
      </c>
      <c r="I14" s="127">
        <v>267.17628030045995</v>
      </c>
      <c r="J14" s="127">
        <v>98.105191671749992</v>
      </c>
      <c r="K14" s="128">
        <v>106.48047123717001</v>
      </c>
      <c r="L14" s="128">
        <v>108.26751767522001</v>
      </c>
      <c r="M14" s="128">
        <v>105.735735360614</v>
      </c>
      <c r="N14" s="128">
        <v>96.294443683730009</v>
      </c>
      <c r="O14" s="72">
        <v>348.58492835201997</v>
      </c>
      <c r="P14" s="72">
        <v>371.76254447191002</v>
      </c>
      <c r="Q14" s="128">
        <v>375.50646282085</v>
      </c>
      <c r="R14" s="128">
        <v>397.08657760999927</v>
      </c>
      <c r="S14" s="128">
        <v>360</v>
      </c>
    </row>
    <row r="15" spans="1:32" s="123" customFormat="1" x14ac:dyDescent="0.25">
      <c r="A15" s="126"/>
      <c r="B15" s="126" t="s">
        <v>291</v>
      </c>
      <c r="C15" s="132"/>
      <c r="D15" s="128">
        <v>55.1</v>
      </c>
      <c r="E15" s="128">
        <v>48.8</v>
      </c>
      <c r="F15" s="128">
        <v>81.8</v>
      </c>
      <c r="G15" s="128">
        <v>133.5</v>
      </c>
      <c r="H15" s="128">
        <v>163</v>
      </c>
      <c r="I15" s="128">
        <v>193.3</v>
      </c>
      <c r="J15" s="128">
        <v>170.94487864817</v>
      </c>
      <c r="K15" s="128">
        <v>171.76086150686999</v>
      </c>
      <c r="L15" s="128">
        <v>176.62226744666</v>
      </c>
      <c r="M15" s="128">
        <v>216.11282876525499</v>
      </c>
      <c r="N15" s="128">
        <v>237.712415162463</v>
      </c>
      <c r="O15" s="128">
        <v>360.29446258548501</v>
      </c>
      <c r="P15" s="128">
        <v>350.9</v>
      </c>
      <c r="Q15" s="128">
        <v>342.27684377118504</v>
      </c>
      <c r="R15" s="128">
        <v>312.86603507718638</v>
      </c>
      <c r="S15" s="128">
        <v>303</v>
      </c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</row>
    <row r="16" spans="1:32" x14ac:dyDescent="0.25">
      <c r="A16" s="125"/>
      <c r="B16" s="125" t="s">
        <v>70</v>
      </c>
      <c r="C16" s="131">
        <v>142.31575175124996</v>
      </c>
      <c r="D16" s="127">
        <v>169.7</v>
      </c>
      <c r="E16" s="128">
        <v>129.06170634814001</v>
      </c>
      <c r="F16" s="127">
        <v>157.11524004522005</v>
      </c>
      <c r="G16" s="127">
        <v>139.37364277149001</v>
      </c>
      <c r="H16" s="128">
        <v>166.2</v>
      </c>
      <c r="I16" s="127">
        <v>170.67135703553004</v>
      </c>
      <c r="J16" s="127">
        <v>200.081111846201</v>
      </c>
      <c r="K16" s="128">
        <v>286.21591324033699</v>
      </c>
      <c r="L16" s="128">
        <v>185.06883128591798</v>
      </c>
      <c r="M16" s="128">
        <v>189.83617983362899</v>
      </c>
      <c r="N16" s="128">
        <v>201.27105525272901</v>
      </c>
      <c r="O16" s="72">
        <v>171.80812764336</v>
      </c>
      <c r="P16" s="72">
        <v>169.668798561904</v>
      </c>
      <c r="Q16" s="128">
        <v>204.188551679591</v>
      </c>
      <c r="R16" s="128">
        <v>249.63046117089664</v>
      </c>
      <c r="S16" s="128">
        <v>212</v>
      </c>
    </row>
    <row r="17" spans="1:22" x14ac:dyDescent="0.25">
      <c r="A17" s="125"/>
      <c r="B17" s="125"/>
      <c r="C17" s="125"/>
      <c r="D17" s="83"/>
      <c r="E17" s="83"/>
      <c r="F17" s="83"/>
      <c r="G17" s="83"/>
      <c r="H17" s="83"/>
      <c r="I17" s="83"/>
    </row>
    <row r="18" spans="1:22" x14ac:dyDescent="0.25">
      <c r="B18" s="83"/>
      <c r="C18" s="83"/>
      <c r="D18" s="83"/>
      <c r="E18" s="83"/>
      <c r="F18" s="83"/>
      <c r="G18" s="83"/>
      <c r="H18" s="83"/>
      <c r="I18" s="83"/>
    </row>
    <row r="19" spans="1:22" x14ac:dyDescent="0.25">
      <c r="B19" s="83"/>
      <c r="C19" s="83"/>
      <c r="D19" s="83"/>
      <c r="E19" s="83"/>
      <c r="F19" s="83"/>
      <c r="G19" s="83"/>
      <c r="H19" s="9"/>
      <c r="I19" s="83"/>
      <c r="V19" s="140"/>
    </row>
    <row r="20" spans="1:22" x14ac:dyDescent="0.25">
      <c r="B20" s="83"/>
      <c r="C20" s="83"/>
      <c r="D20" s="83"/>
      <c r="E20" s="83"/>
      <c r="F20" s="83"/>
      <c r="G20" s="83"/>
      <c r="H20" s="9"/>
      <c r="I20" s="83"/>
      <c r="J20" s="127"/>
      <c r="K20" s="127"/>
      <c r="L20" s="127"/>
    </row>
    <row r="21" spans="1:22" x14ac:dyDescent="0.25">
      <c r="B21" s="83"/>
      <c r="C21" s="83"/>
      <c r="D21" s="83"/>
      <c r="E21" s="83"/>
      <c r="F21" s="83"/>
      <c r="G21" s="83"/>
      <c r="I21" s="128"/>
      <c r="J21" s="128"/>
      <c r="K21" s="128"/>
      <c r="L21" s="128"/>
    </row>
    <row r="22" spans="1:22" x14ac:dyDescent="0.25">
      <c r="B22" s="83"/>
      <c r="C22" s="83"/>
      <c r="D22" s="83"/>
      <c r="E22" s="83"/>
      <c r="F22" s="83"/>
      <c r="G22" s="83"/>
      <c r="I22" s="83"/>
      <c r="J22" s="127"/>
      <c r="K22" s="127"/>
      <c r="L22" s="127"/>
    </row>
    <row r="23" spans="1:22" x14ac:dyDescent="0.25">
      <c r="B23" s="83"/>
      <c r="C23" s="83"/>
      <c r="D23" s="83"/>
      <c r="E23" s="83"/>
      <c r="F23" s="83"/>
      <c r="G23" s="83"/>
      <c r="I23" s="83"/>
      <c r="J23" s="127"/>
      <c r="K23" s="127"/>
      <c r="L23" s="127"/>
    </row>
    <row r="24" spans="1:22" x14ac:dyDescent="0.25">
      <c r="B24" s="83"/>
      <c r="C24" s="83"/>
      <c r="D24" s="83"/>
      <c r="E24" s="83"/>
      <c r="F24" s="83"/>
      <c r="G24" s="83"/>
      <c r="H24" s="9"/>
      <c r="I24" s="83"/>
      <c r="J24" s="127"/>
      <c r="K24" s="127"/>
      <c r="L24" s="127"/>
      <c r="V24" s="140"/>
    </row>
    <row r="25" spans="1:22" x14ac:dyDescent="0.25">
      <c r="B25" s="83"/>
      <c r="C25" s="83"/>
      <c r="D25" s="83"/>
      <c r="E25" s="83"/>
      <c r="F25" s="83"/>
      <c r="G25" s="83"/>
      <c r="H25" s="9"/>
      <c r="I25" s="83"/>
      <c r="J25" s="127"/>
      <c r="K25" s="127"/>
      <c r="L25" s="127"/>
    </row>
    <row r="26" spans="1:22" x14ac:dyDescent="0.25">
      <c r="B26" s="83"/>
      <c r="C26" s="83"/>
      <c r="D26" s="83"/>
      <c r="E26" s="83"/>
      <c r="F26" s="83"/>
      <c r="G26" s="83"/>
      <c r="H26" s="9"/>
      <c r="I26" s="83"/>
      <c r="J26" s="127"/>
      <c r="K26" s="127"/>
      <c r="L26" s="127"/>
    </row>
    <row r="27" spans="1:22" x14ac:dyDescent="0.25">
      <c r="B27" s="83"/>
      <c r="C27" s="83"/>
      <c r="D27" s="83"/>
      <c r="E27" s="83"/>
      <c r="F27" s="83"/>
      <c r="G27" s="83"/>
      <c r="I27" s="83"/>
      <c r="J27" s="128"/>
      <c r="K27" s="128"/>
      <c r="L27" s="128"/>
    </row>
    <row r="28" spans="1:22" x14ac:dyDescent="0.25">
      <c r="B28" s="83"/>
      <c r="C28" s="83"/>
      <c r="D28" s="83"/>
      <c r="E28" s="83"/>
      <c r="F28" s="83"/>
      <c r="G28" s="83"/>
      <c r="I28" s="83"/>
      <c r="J28" s="127"/>
      <c r="K28" s="127"/>
      <c r="L28" s="127"/>
    </row>
    <row r="29" spans="1:22" x14ac:dyDescent="0.25">
      <c r="B29" s="83"/>
      <c r="C29" s="83"/>
      <c r="D29" s="83"/>
      <c r="E29" s="83"/>
      <c r="F29" s="83"/>
      <c r="G29" s="83"/>
      <c r="I29" s="83"/>
    </row>
    <row r="30" spans="1:22" x14ac:dyDescent="0.25">
      <c r="B30" s="83"/>
      <c r="C30" s="83"/>
      <c r="D30" s="83"/>
      <c r="E30" s="83"/>
      <c r="F30" s="83"/>
      <c r="G30" s="83"/>
      <c r="H30" s="9"/>
      <c r="I30" s="83"/>
    </row>
    <row r="31" spans="1:22" x14ac:dyDescent="0.25">
      <c r="B31" s="83"/>
      <c r="C31" s="83"/>
      <c r="D31" s="83"/>
      <c r="E31" s="83"/>
      <c r="F31" s="83"/>
      <c r="G31" s="83"/>
      <c r="I31" s="83"/>
    </row>
    <row r="32" spans="1:22" x14ac:dyDescent="0.25">
      <c r="B32" s="83"/>
      <c r="C32" s="83"/>
      <c r="D32" s="83"/>
      <c r="E32" s="83"/>
      <c r="F32" s="83"/>
      <c r="G32" s="83"/>
      <c r="H32" s="9"/>
      <c r="I32" s="83"/>
    </row>
    <row r="33" spans="2:9" x14ac:dyDescent="0.25">
      <c r="B33" s="83"/>
      <c r="C33" s="83"/>
      <c r="D33" s="83"/>
      <c r="E33" s="83"/>
      <c r="F33" s="83"/>
      <c r="G33" s="83"/>
      <c r="H33" s="9"/>
      <c r="I33" s="83"/>
    </row>
    <row r="34" spans="2:9" x14ac:dyDescent="0.25">
      <c r="B34" s="83"/>
      <c r="C34" s="83"/>
      <c r="D34" s="83"/>
      <c r="E34" s="83"/>
      <c r="F34" s="83"/>
      <c r="G34" s="83"/>
      <c r="H34" s="9"/>
      <c r="I34" s="83"/>
    </row>
    <row r="35" spans="2:9" x14ac:dyDescent="0.25">
      <c r="B35" s="83"/>
      <c r="C35" s="83"/>
      <c r="D35" s="83"/>
      <c r="E35" s="83"/>
      <c r="F35" s="83"/>
      <c r="G35" s="83"/>
      <c r="I35" s="83"/>
    </row>
    <row r="36" spans="2:9" x14ac:dyDescent="0.25">
      <c r="B36" s="83"/>
      <c r="C36" s="83"/>
      <c r="D36" s="83"/>
      <c r="E36" s="83"/>
      <c r="F36" s="83"/>
      <c r="G36" s="83"/>
      <c r="I36" s="83"/>
    </row>
    <row r="37" spans="2:9" x14ac:dyDescent="0.25">
      <c r="B37" s="83"/>
      <c r="C37" s="83"/>
      <c r="D37" s="83"/>
      <c r="E37" s="83"/>
      <c r="F37" s="83"/>
      <c r="G37" s="83"/>
      <c r="I37" s="83"/>
    </row>
    <row r="38" spans="2:9" x14ac:dyDescent="0.25">
      <c r="B38" s="125"/>
      <c r="C38" s="125"/>
      <c r="D38" s="125"/>
      <c r="E38" s="125"/>
      <c r="F38" s="125"/>
      <c r="G38" s="125"/>
      <c r="H38" s="125"/>
      <c r="I38" s="83"/>
    </row>
    <row r="39" spans="2:9" x14ac:dyDescent="0.25">
      <c r="C39" s="83"/>
      <c r="D39" s="83"/>
      <c r="E39" s="83"/>
      <c r="F39" s="83"/>
      <c r="G39" s="83"/>
      <c r="H39" s="83"/>
      <c r="I39" s="83"/>
    </row>
    <row r="40" spans="2:9" x14ac:dyDescent="0.25">
      <c r="C40" s="83"/>
      <c r="D40" s="83"/>
      <c r="E40" s="83"/>
      <c r="F40" s="83"/>
      <c r="G40" s="83"/>
      <c r="H40" s="83"/>
      <c r="I40" s="83"/>
    </row>
    <row r="41" spans="2:9" x14ac:dyDescent="0.25">
      <c r="C41" s="83"/>
      <c r="D41" s="83"/>
      <c r="E41" s="83"/>
      <c r="F41" s="83"/>
      <c r="G41" s="83"/>
      <c r="H41" s="83"/>
      <c r="I41" s="83"/>
    </row>
    <row r="42" spans="2:9" x14ac:dyDescent="0.25">
      <c r="C42" s="83"/>
      <c r="D42" s="83"/>
      <c r="E42" s="83"/>
      <c r="F42" s="83"/>
      <c r="G42" s="83"/>
      <c r="H42" s="83"/>
      <c r="I42" s="83"/>
    </row>
    <row r="43" spans="2:9" x14ac:dyDescent="0.25">
      <c r="C43" s="83"/>
      <c r="D43" s="83"/>
      <c r="E43" s="83"/>
      <c r="F43" s="83"/>
      <c r="G43" s="83"/>
      <c r="H43" s="83"/>
      <c r="I43" s="83"/>
    </row>
    <row r="44" spans="2:9" x14ac:dyDescent="0.25">
      <c r="C44" s="83"/>
      <c r="D44" s="83"/>
      <c r="E44" s="83"/>
      <c r="F44" s="83"/>
      <c r="G44" s="83"/>
      <c r="H44" s="83"/>
      <c r="I44" s="83"/>
    </row>
    <row r="45" spans="2:9" x14ac:dyDescent="0.25">
      <c r="C45" s="83"/>
      <c r="D45" s="83"/>
      <c r="E45" s="83"/>
      <c r="F45" s="83"/>
      <c r="G45" s="83"/>
      <c r="H45" s="83"/>
      <c r="I45" s="83"/>
    </row>
    <row r="46" spans="2:9" x14ac:dyDescent="0.25">
      <c r="C46" s="83"/>
      <c r="D46" s="83"/>
      <c r="E46" s="83"/>
      <c r="F46" s="83"/>
      <c r="G46" s="83"/>
      <c r="H46" s="83"/>
      <c r="I46" s="83"/>
    </row>
    <row r="47" spans="2:9" x14ac:dyDescent="0.25">
      <c r="C47" s="83"/>
      <c r="D47" s="83"/>
      <c r="E47" s="83"/>
      <c r="F47" s="83"/>
      <c r="G47" s="83"/>
      <c r="H47" s="83"/>
      <c r="I47" s="83"/>
    </row>
    <row r="48" spans="2:9" x14ac:dyDescent="0.25">
      <c r="C48" s="83"/>
      <c r="D48" s="83"/>
      <c r="E48" s="83"/>
      <c r="F48" s="83"/>
      <c r="G48" s="83"/>
      <c r="H48" s="83"/>
      <c r="I48" s="83"/>
    </row>
    <row r="49" spans="3:9" x14ac:dyDescent="0.25">
      <c r="C49" s="83"/>
      <c r="D49" s="83"/>
      <c r="E49" s="83"/>
      <c r="F49" s="83"/>
      <c r="G49" s="83"/>
      <c r="H49" s="83"/>
      <c r="I49" s="83"/>
    </row>
    <row r="50" spans="3:9" x14ac:dyDescent="0.25">
      <c r="C50" s="83"/>
      <c r="D50" s="83"/>
      <c r="E50" s="83"/>
      <c r="F50" s="83"/>
      <c r="G50" s="83"/>
      <c r="H50" s="83"/>
      <c r="I50" s="83"/>
    </row>
    <row r="51" spans="3:9" x14ac:dyDescent="0.25">
      <c r="C51" s="83"/>
      <c r="D51" s="83"/>
      <c r="E51" s="83"/>
      <c r="F51" s="83"/>
      <c r="G51" s="83"/>
      <c r="H51" s="83"/>
      <c r="I51" s="83"/>
    </row>
    <row r="52" spans="3:9" x14ac:dyDescent="0.25">
      <c r="C52" s="83"/>
      <c r="D52" s="83"/>
      <c r="E52" s="83"/>
      <c r="F52" s="83"/>
      <c r="G52" s="83"/>
      <c r="H52" s="83"/>
      <c r="I52" s="83"/>
    </row>
    <row r="53" spans="3:9" x14ac:dyDescent="0.25">
      <c r="C53" s="83"/>
      <c r="D53" s="83"/>
      <c r="E53" s="83"/>
      <c r="F53" s="83"/>
      <c r="G53" s="83"/>
      <c r="H53" s="83"/>
      <c r="I53" s="83"/>
    </row>
    <row r="54" spans="3:9" x14ac:dyDescent="0.25">
      <c r="C54" s="83"/>
      <c r="D54" s="83"/>
      <c r="E54" s="83"/>
      <c r="F54" s="83"/>
      <c r="G54" s="83"/>
      <c r="H54" s="83"/>
      <c r="I54" s="83"/>
    </row>
    <row r="55" spans="3:9" x14ac:dyDescent="0.25">
      <c r="C55" s="83"/>
      <c r="D55" s="83"/>
      <c r="E55" s="83"/>
      <c r="F55" s="83"/>
      <c r="G55" s="83"/>
      <c r="H55" s="83"/>
      <c r="I55" s="83"/>
    </row>
    <row r="56" spans="3:9" x14ac:dyDescent="0.25">
      <c r="C56" s="83"/>
      <c r="D56" s="83"/>
      <c r="E56" s="83"/>
      <c r="F56" s="83"/>
      <c r="G56" s="83"/>
      <c r="H56" s="83"/>
      <c r="I56" s="83"/>
    </row>
    <row r="57" spans="3:9" x14ac:dyDescent="0.25">
      <c r="C57" s="83"/>
      <c r="D57" s="83"/>
      <c r="E57" s="83"/>
      <c r="F57" s="83"/>
      <c r="G57" s="83"/>
      <c r="H57" s="83"/>
      <c r="I57" s="83"/>
    </row>
    <row r="58" spans="3:9" x14ac:dyDescent="0.25">
      <c r="C58" s="83"/>
      <c r="D58" s="83"/>
      <c r="E58" s="83"/>
      <c r="F58" s="83"/>
      <c r="G58" s="83"/>
      <c r="H58" s="83"/>
      <c r="I58" s="83"/>
    </row>
    <row r="59" spans="3:9" x14ac:dyDescent="0.25">
      <c r="C59" s="83"/>
      <c r="D59" s="83"/>
      <c r="E59" s="83"/>
      <c r="F59" s="83"/>
      <c r="G59" s="83"/>
      <c r="H59" s="83"/>
      <c r="I59" s="83"/>
    </row>
    <row r="60" spans="3:9" x14ac:dyDescent="0.25">
      <c r="C60" s="83"/>
      <c r="D60" s="83"/>
      <c r="E60" s="83"/>
      <c r="F60" s="83"/>
      <c r="G60" s="83"/>
      <c r="H60" s="83"/>
      <c r="I60" s="83"/>
    </row>
    <row r="61" spans="3:9" x14ac:dyDescent="0.25">
      <c r="C61" s="83"/>
      <c r="D61" s="83"/>
      <c r="E61" s="83"/>
      <c r="F61" s="83"/>
      <c r="G61" s="83"/>
      <c r="H61" s="83"/>
      <c r="I61" s="83"/>
    </row>
    <row r="62" spans="3:9" x14ac:dyDescent="0.25">
      <c r="C62" s="83"/>
      <c r="D62" s="83"/>
      <c r="E62" s="83"/>
      <c r="F62" s="83"/>
      <c r="G62" s="83"/>
      <c r="H62" s="83"/>
      <c r="I62" s="83"/>
    </row>
    <row r="63" spans="3:9" x14ac:dyDescent="0.25">
      <c r="C63" s="83"/>
      <c r="D63" s="83"/>
      <c r="E63" s="83"/>
      <c r="F63" s="83"/>
      <c r="G63" s="83"/>
      <c r="H63" s="83"/>
      <c r="I63" s="83"/>
    </row>
    <row r="64" spans="3:9" x14ac:dyDescent="0.25">
      <c r="C64" s="83"/>
      <c r="D64" s="83"/>
      <c r="E64" s="83"/>
      <c r="F64" s="83"/>
      <c r="G64" s="83"/>
      <c r="H64" s="83"/>
      <c r="I64" s="83"/>
    </row>
    <row r="65" spans="3:9" x14ac:dyDescent="0.25">
      <c r="C65" s="83"/>
      <c r="D65" s="83"/>
      <c r="E65" s="83"/>
      <c r="F65" s="83"/>
      <c r="G65" s="83"/>
      <c r="H65" s="83"/>
      <c r="I65" s="83"/>
    </row>
  </sheetData>
  <sortState ref="B8:Q16">
    <sortCondition descending="1" ref="Q8:Q16"/>
  </sortState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opLeftCell="A22" workbookViewId="0">
      <selection activeCell="L5" sqref="L5"/>
    </sheetView>
  </sheetViews>
  <sheetFormatPr defaultRowHeight="12.75" customHeight="1" x14ac:dyDescent="0.2"/>
  <cols>
    <col min="1" max="1" width="75.5703125" style="41" customWidth="1"/>
    <col min="2" max="2" width="82.28515625" style="41" customWidth="1"/>
    <col min="3" max="3" width="5.85546875" style="41" customWidth="1"/>
    <col min="4" max="4" width="34" style="41" bestFit="1" customWidth="1"/>
    <col min="5" max="5" width="7.42578125" style="41" customWidth="1"/>
    <col min="6" max="7" width="13.85546875" style="41" customWidth="1"/>
    <col min="8" max="12" width="9.140625" style="41"/>
    <col min="13" max="13" width="16.42578125" style="41" customWidth="1"/>
    <col min="14" max="16384" width="9.140625" style="41"/>
  </cols>
  <sheetData>
    <row r="1" spans="1:13" ht="13.5" thickBot="1" x14ac:dyDescent="0.25">
      <c r="A1" s="40" t="s">
        <v>95</v>
      </c>
      <c r="B1" s="40" t="s">
        <v>96</v>
      </c>
      <c r="C1" s="40" t="s">
        <v>97</v>
      </c>
      <c r="D1" s="40" t="s">
        <v>98</v>
      </c>
      <c r="E1" s="40" t="s">
        <v>99</v>
      </c>
      <c r="F1" s="40" t="s">
        <v>100</v>
      </c>
    </row>
    <row r="2" spans="1:13" ht="21.75" thickBot="1" x14ac:dyDescent="0.3">
      <c r="A2" s="42" t="s">
        <v>101</v>
      </c>
      <c r="B2" s="43" t="s">
        <v>102</v>
      </c>
      <c r="C2" s="42" t="s">
        <v>103</v>
      </c>
      <c r="D2" s="42" t="s">
        <v>74</v>
      </c>
      <c r="E2" s="42" t="s">
        <v>104</v>
      </c>
      <c r="F2" s="44">
        <v>4470522567.4099998</v>
      </c>
      <c r="G2" s="45">
        <f>F2/$F$41</f>
        <v>0.22276645596256012</v>
      </c>
      <c r="J2" s="41">
        <v>1</v>
      </c>
      <c r="L2" s="42" t="s">
        <v>104</v>
      </c>
      <c r="M2" s="44">
        <v>4470522567.4099998</v>
      </c>
    </row>
    <row r="3" spans="1:13" ht="32.25" thickBot="1" x14ac:dyDescent="0.3">
      <c r="A3" s="42" t="s">
        <v>101</v>
      </c>
      <c r="B3" s="43" t="s">
        <v>105</v>
      </c>
      <c r="C3" s="42" t="s">
        <v>103</v>
      </c>
      <c r="D3" s="42" t="s">
        <v>74</v>
      </c>
      <c r="E3" s="42" t="s">
        <v>104</v>
      </c>
      <c r="F3" s="44">
        <v>4455623282.96</v>
      </c>
      <c r="G3" s="45">
        <f t="shared" ref="G3" si="0">F3/$F$41</f>
        <v>0.22202402356382883</v>
      </c>
      <c r="J3" s="41">
        <v>2</v>
      </c>
      <c r="L3" s="42" t="s">
        <v>104</v>
      </c>
      <c r="M3" s="44">
        <v>4455623282.96</v>
      </c>
    </row>
    <row r="4" spans="1:13" ht="15.75" thickBot="1" x14ac:dyDescent="0.3">
      <c r="A4" s="42" t="s">
        <v>106</v>
      </c>
      <c r="B4" s="42" t="s">
        <v>107</v>
      </c>
      <c r="C4" s="42" t="s">
        <v>103</v>
      </c>
      <c r="D4" s="42" t="s">
        <v>51</v>
      </c>
      <c r="E4" s="42" t="s">
        <v>104</v>
      </c>
      <c r="F4" s="46">
        <v>4342281088.46</v>
      </c>
      <c r="G4" s="45">
        <f>F4/$F$41</f>
        <v>0.21637617398940825</v>
      </c>
      <c r="J4" s="41">
        <v>3</v>
      </c>
      <c r="L4" s="42" t="s">
        <v>104</v>
      </c>
      <c r="M4" s="46">
        <v>4342281088.46</v>
      </c>
    </row>
    <row r="5" spans="1:13" ht="15.75" thickBot="1" x14ac:dyDescent="0.3">
      <c r="A5" s="42" t="s">
        <v>108</v>
      </c>
      <c r="B5" s="42" t="s">
        <v>109</v>
      </c>
      <c r="C5" s="42" t="s">
        <v>103</v>
      </c>
      <c r="D5" s="42" t="s">
        <v>80</v>
      </c>
      <c r="E5" s="42" t="s">
        <v>110</v>
      </c>
      <c r="F5" s="46">
        <v>1620790976.6199999</v>
      </c>
      <c r="G5" s="45">
        <f t="shared" ref="G5:G35" si="1">F5/$F$41</f>
        <v>8.076412908634821E-2</v>
      </c>
      <c r="J5" s="41">
        <v>4</v>
      </c>
      <c r="L5" s="42"/>
      <c r="M5" s="46"/>
    </row>
    <row r="6" spans="1:13" ht="15.75" thickBot="1" x14ac:dyDescent="0.3">
      <c r="A6" s="42" t="s">
        <v>111</v>
      </c>
      <c r="B6" s="42" t="s">
        <v>112</v>
      </c>
      <c r="C6" s="42" t="s">
        <v>103</v>
      </c>
      <c r="D6" s="42" t="s">
        <v>80</v>
      </c>
      <c r="E6" s="42" t="s">
        <v>110</v>
      </c>
      <c r="F6" s="47">
        <v>1096528871.3800001</v>
      </c>
      <c r="G6" s="45">
        <f t="shared" si="1"/>
        <v>5.4640111274388767E-2</v>
      </c>
      <c r="H6" s="48">
        <f>SUM(G2:G6)</f>
        <v>0.79657089387653413</v>
      </c>
      <c r="I6" s="41" t="s">
        <v>113</v>
      </c>
      <c r="J6" s="41">
        <v>5</v>
      </c>
      <c r="L6" s="42"/>
      <c r="M6" s="47"/>
    </row>
    <row r="7" spans="1:13" ht="15.75" thickBot="1" x14ac:dyDescent="0.3">
      <c r="A7" s="42" t="s">
        <v>111</v>
      </c>
      <c r="B7" s="42" t="s">
        <v>114</v>
      </c>
      <c r="C7" s="42" t="s">
        <v>103</v>
      </c>
      <c r="D7" s="42" t="s">
        <v>80</v>
      </c>
      <c r="E7" s="42" t="s">
        <v>110</v>
      </c>
      <c r="F7" s="46">
        <v>684498667.63</v>
      </c>
      <c r="G7" s="45">
        <f t="shared" si="1"/>
        <v>3.4108617057573828E-2</v>
      </c>
      <c r="J7" s="41">
        <v>6</v>
      </c>
      <c r="L7" s="42"/>
      <c r="M7" s="46"/>
    </row>
    <row r="8" spans="1:13" ht="15.75" thickBot="1" x14ac:dyDescent="0.3">
      <c r="A8" s="42" t="s">
        <v>111</v>
      </c>
      <c r="B8" s="42" t="s">
        <v>115</v>
      </c>
      <c r="C8" s="42" t="s">
        <v>103</v>
      </c>
      <c r="D8" s="42" t="s">
        <v>80</v>
      </c>
      <c r="E8" s="42" t="s">
        <v>110</v>
      </c>
      <c r="F8" s="46">
        <v>594783395.25</v>
      </c>
      <c r="G8" s="45">
        <f t="shared" si="1"/>
        <v>2.9638098684732463E-2</v>
      </c>
      <c r="J8" s="41">
        <v>7</v>
      </c>
      <c r="L8" s="42"/>
      <c r="M8" s="46"/>
    </row>
    <row r="9" spans="1:13" ht="15.75" thickBot="1" x14ac:dyDescent="0.3">
      <c r="A9" s="42" t="s">
        <v>116</v>
      </c>
      <c r="B9" s="42" t="s">
        <v>117</v>
      </c>
      <c r="C9" s="42" t="s">
        <v>103</v>
      </c>
      <c r="D9" s="42" t="s">
        <v>118</v>
      </c>
      <c r="E9" s="42" t="s">
        <v>110</v>
      </c>
      <c r="F9" s="44">
        <v>390700434.13</v>
      </c>
      <c r="G9" s="45">
        <f t="shared" si="1"/>
        <v>1.9468630286905705E-2</v>
      </c>
      <c r="J9" s="41">
        <v>8</v>
      </c>
      <c r="L9" s="42"/>
      <c r="M9" s="44"/>
    </row>
    <row r="10" spans="1:13" ht="15.75" thickBot="1" x14ac:dyDescent="0.3">
      <c r="A10" s="42" t="s">
        <v>108</v>
      </c>
      <c r="B10" s="42" t="s">
        <v>119</v>
      </c>
      <c r="C10" s="42" t="s">
        <v>103</v>
      </c>
      <c r="D10" s="42" t="s">
        <v>80</v>
      </c>
      <c r="E10" s="42" t="s">
        <v>110</v>
      </c>
      <c r="F10" s="46">
        <v>362136412.01999998</v>
      </c>
      <c r="G10" s="45">
        <f t="shared" si="1"/>
        <v>1.8045283043371402E-2</v>
      </c>
      <c r="J10" s="41">
        <v>9</v>
      </c>
      <c r="L10" s="42"/>
      <c r="M10" s="46"/>
    </row>
    <row r="11" spans="1:13" ht="15.75" thickBot="1" x14ac:dyDescent="0.3">
      <c r="A11" s="42" t="s">
        <v>120</v>
      </c>
      <c r="B11" s="42" t="s">
        <v>121</v>
      </c>
      <c r="C11" s="42" t="s">
        <v>103</v>
      </c>
      <c r="D11" s="42" t="s">
        <v>118</v>
      </c>
      <c r="E11" s="42" t="s">
        <v>110</v>
      </c>
      <c r="F11" s="47">
        <v>361443837.35000002</v>
      </c>
      <c r="G11" s="45">
        <f t="shared" si="1"/>
        <v>1.8010771998544103E-2</v>
      </c>
      <c r="H11" s="48">
        <f>SUM(G2:G11)</f>
        <v>0.91584229494766156</v>
      </c>
      <c r="I11" s="41" t="s">
        <v>122</v>
      </c>
      <c r="J11" s="41">
        <v>10</v>
      </c>
      <c r="L11" s="42"/>
      <c r="M11" s="47"/>
    </row>
    <row r="12" spans="1:13" ht="15.75" thickBot="1" x14ac:dyDescent="0.3">
      <c r="A12" s="42" t="s">
        <v>123</v>
      </c>
      <c r="B12" s="42" t="s">
        <v>124</v>
      </c>
      <c r="C12" s="42" t="s">
        <v>103</v>
      </c>
      <c r="D12" s="42" t="s">
        <v>125</v>
      </c>
      <c r="E12" s="42" t="s">
        <v>110</v>
      </c>
      <c r="F12" s="46">
        <v>349788081.12</v>
      </c>
      <c r="G12" s="45">
        <f t="shared" si="1"/>
        <v>1.7429964840595918E-2</v>
      </c>
      <c r="L12" s="42"/>
      <c r="M12" s="46"/>
    </row>
    <row r="13" spans="1:13" ht="15.75" thickBot="1" x14ac:dyDescent="0.3">
      <c r="A13" s="42" t="s">
        <v>126</v>
      </c>
      <c r="B13" s="49" t="s">
        <v>127</v>
      </c>
      <c r="C13" s="42" t="s">
        <v>103</v>
      </c>
      <c r="D13" s="42" t="s">
        <v>118</v>
      </c>
      <c r="E13" s="42" t="s">
        <v>110</v>
      </c>
      <c r="F13" s="46">
        <v>234212322.31</v>
      </c>
      <c r="G13" s="45">
        <f t="shared" si="1"/>
        <v>1.1670816598513888E-2</v>
      </c>
      <c r="L13" s="42"/>
      <c r="M13" s="46"/>
    </row>
    <row r="14" spans="1:13" ht="15.75" thickBot="1" x14ac:dyDescent="0.3">
      <c r="A14" s="42" t="s">
        <v>128</v>
      </c>
      <c r="B14" s="42" t="s">
        <v>129</v>
      </c>
      <c r="C14" s="42" t="s">
        <v>103</v>
      </c>
      <c r="D14" s="42" t="s">
        <v>51</v>
      </c>
      <c r="E14" s="42" t="s">
        <v>104</v>
      </c>
      <c r="F14" s="46">
        <v>231782165.71000001</v>
      </c>
      <c r="G14" s="45">
        <f t="shared" si="1"/>
        <v>1.1549721723126724E-2</v>
      </c>
      <c r="L14" s="42" t="s">
        <v>104</v>
      </c>
      <c r="M14" s="46">
        <v>231782165.71000001</v>
      </c>
    </row>
    <row r="15" spans="1:13" ht="15.75" thickBot="1" x14ac:dyDescent="0.3">
      <c r="A15" s="42" t="s">
        <v>126</v>
      </c>
      <c r="B15" s="42" t="s">
        <v>130</v>
      </c>
      <c r="C15" s="42" t="s">
        <v>103</v>
      </c>
      <c r="D15" s="42" t="s">
        <v>131</v>
      </c>
      <c r="E15" s="42" t="s">
        <v>110</v>
      </c>
      <c r="F15" s="46">
        <v>173253866.25999999</v>
      </c>
      <c r="G15" s="45">
        <f t="shared" si="1"/>
        <v>8.6332524188356113E-3</v>
      </c>
      <c r="L15" s="42"/>
      <c r="M15" s="46"/>
    </row>
    <row r="16" spans="1:13" ht="15.75" thickBot="1" x14ac:dyDescent="0.3">
      <c r="A16" s="42" t="s">
        <v>132</v>
      </c>
      <c r="B16" s="42" t="s">
        <v>133</v>
      </c>
      <c r="C16" s="42" t="s">
        <v>103</v>
      </c>
      <c r="D16" s="42" t="s">
        <v>51</v>
      </c>
      <c r="E16" s="42" t="s">
        <v>104</v>
      </c>
      <c r="F16" s="46">
        <v>149317882.44999999</v>
      </c>
      <c r="G16" s="45">
        <f t="shared" si="1"/>
        <v>7.4405206513679673E-3</v>
      </c>
      <c r="L16" s="42" t="s">
        <v>104</v>
      </c>
      <c r="M16" s="46">
        <v>149317882.44999999</v>
      </c>
    </row>
    <row r="17" spans="1:13" ht="13.5" customHeight="1" thickBot="1" x14ac:dyDescent="0.3">
      <c r="A17" s="42" t="s">
        <v>134</v>
      </c>
      <c r="B17" s="42" t="s">
        <v>135</v>
      </c>
      <c r="C17" s="42" t="s">
        <v>103</v>
      </c>
      <c r="D17" s="42" t="s">
        <v>51</v>
      </c>
      <c r="E17" s="42" t="s">
        <v>104</v>
      </c>
      <c r="F17" s="46">
        <v>121797273.17</v>
      </c>
      <c r="G17" s="45">
        <f t="shared" si="1"/>
        <v>6.0691667430064792E-3</v>
      </c>
      <c r="L17" s="42" t="s">
        <v>104</v>
      </c>
      <c r="M17" s="46">
        <v>121797273.17</v>
      </c>
    </row>
    <row r="18" spans="1:13" ht="15.75" thickBot="1" x14ac:dyDescent="0.3">
      <c r="A18" s="42" t="s">
        <v>136</v>
      </c>
      <c r="B18" s="42" t="s">
        <v>137</v>
      </c>
      <c r="C18" s="42" t="s">
        <v>103</v>
      </c>
      <c r="D18" s="42" t="s">
        <v>80</v>
      </c>
      <c r="E18" s="42" t="s">
        <v>110</v>
      </c>
      <c r="F18" s="46">
        <v>64786319.329999998</v>
      </c>
      <c r="G18" s="45">
        <f t="shared" si="1"/>
        <v>3.2283068778610636E-3</v>
      </c>
      <c r="L18" s="42"/>
      <c r="M18" s="46"/>
    </row>
    <row r="19" spans="1:13" ht="15.75" thickBot="1" x14ac:dyDescent="0.3">
      <c r="A19" s="42" t="s">
        <v>138</v>
      </c>
      <c r="B19" s="42" t="s">
        <v>139</v>
      </c>
      <c r="C19" s="42" t="s">
        <v>103</v>
      </c>
      <c r="D19" s="42" t="s">
        <v>51</v>
      </c>
      <c r="E19" s="42" t="s">
        <v>104</v>
      </c>
      <c r="F19" s="46">
        <v>55344547.920000002</v>
      </c>
      <c r="G19" s="45">
        <f t="shared" si="1"/>
        <v>2.7578227402017658E-3</v>
      </c>
      <c r="L19" s="42" t="s">
        <v>104</v>
      </c>
      <c r="M19" s="46">
        <v>55344547.920000002</v>
      </c>
    </row>
    <row r="20" spans="1:13" ht="15.75" thickBot="1" x14ac:dyDescent="0.3">
      <c r="A20" s="42" t="s">
        <v>140</v>
      </c>
      <c r="B20" s="42" t="s">
        <v>141</v>
      </c>
      <c r="C20" s="42" t="s">
        <v>103</v>
      </c>
      <c r="D20" s="42" t="s">
        <v>80</v>
      </c>
      <c r="E20" s="42" t="s">
        <v>110</v>
      </c>
      <c r="F20" s="50">
        <v>48370498</v>
      </c>
      <c r="G20" s="45">
        <f t="shared" si="1"/>
        <v>2.4103053390572174E-3</v>
      </c>
      <c r="L20" s="42"/>
      <c r="M20" s="50"/>
    </row>
    <row r="21" spans="1:13" ht="15.75" thickBot="1" x14ac:dyDescent="0.3">
      <c r="A21" s="42" t="s">
        <v>142</v>
      </c>
      <c r="B21" s="42" t="s">
        <v>143</v>
      </c>
      <c r="C21" s="42" t="s">
        <v>103</v>
      </c>
      <c r="D21" s="42" t="s">
        <v>125</v>
      </c>
      <c r="E21" s="42" t="s">
        <v>110</v>
      </c>
      <c r="F21" s="46">
        <v>42621905.240000002</v>
      </c>
      <c r="G21" s="45">
        <f t="shared" si="1"/>
        <v>2.1238525549346797E-3</v>
      </c>
      <c r="L21" s="42"/>
      <c r="M21" s="46"/>
    </row>
    <row r="22" spans="1:13" ht="13.5" customHeight="1" thickBot="1" x14ac:dyDescent="0.3">
      <c r="A22" s="51" t="s">
        <v>144</v>
      </c>
      <c r="B22" s="51" t="s">
        <v>145</v>
      </c>
      <c r="C22" s="51" t="s">
        <v>103</v>
      </c>
      <c r="D22" s="51" t="s">
        <v>51</v>
      </c>
      <c r="E22" s="51" t="s">
        <v>104</v>
      </c>
      <c r="F22" s="46">
        <v>39881076.020000003</v>
      </c>
      <c r="G22" s="45">
        <f t="shared" si="1"/>
        <v>1.9872768409031631E-3</v>
      </c>
      <c r="L22" s="51" t="s">
        <v>104</v>
      </c>
      <c r="M22" s="46">
        <v>39881076.020000003</v>
      </c>
    </row>
    <row r="23" spans="1:13" ht="15.75" thickBot="1" x14ac:dyDescent="0.3">
      <c r="A23" s="42" t="s">
        <v>123</v>
      </c>
      <c r="B23" s="42" t="s">
        <v>146</v>
      </c>
      <c r="C23" s="42" t="s">
        <v>103</v>
      </c>
      <c r="D23" s="42" t="s">
        <v>80</v>
      </c>
      <c r="E23" s="42" t="s">
        <v>110</v>
      </c>
      <c r="F23" s="46">
        <v>34018318.509999998</v>
      </c>
      <c r="G23" s="45">
        <f t="shared" si="1"/>
        <v>1.6951352192074178E-3</v>
      </c>
      <c r="L23" s="42"/>
      <c r="M23" s="46"/>
    </row>
    <row r="24" spans="1:13" ht="15.75" thickBot="1" x14ac:dyDescent="0.3">
      <c r="A24" s="42" t="s">
        <v>147</v>
      </c>
      <c r="B24" s="42" t="s">
        <v>148</v>
      </c>
      <c r="C24" s="42" t="s">
        <v>103</v>
      </c>
      <c r="D24" s="42" t="s">
        <v>118</v>
      </c>
      <c r="E24" s="42" t="s">
        <v>110</v>
      </c>
      <c r="F24" s="46">
        <v>29862229.300000001</v>
      </c>
      <c r="G24" s="45">
        <f t="shared" si="1"/>
        <v>1.4880369997005382E-3</v>
      </c>
      <c r="L24" s="42"/>
      <c r="M24" s="46"/>
    </row>
    <row r="25" spans="1:13" ht="15.75" thickBot="1" x14ac:dyDescent="0.3">
      <c r="A25" s="42" t="s">
        <v>149</v>
      </c>
      <c r="B25" s="42" t="s">
        <v>150</v>
      </c>
      <c r="C25" s="42" t="s">
        <v>103</v>
      </c>
      <c r="D25" s="42" t="s">
        <v>125</v>
      </c>
      <c r="E25" s="42" t="s">
        <v>110</v>
      </c>
      <c r="F25" s="46">
        <v>25180645.68</v>
      </c>
      <c r="G25" s="45">
        <f t="shared" si="1"/>
        <v>1.2547533565482841E-3</v>
      </c>
      <c r="L25" s="42"/>
      <c r="M25" s="46"/>
    </row>
    <row r="26" spans="1:13" ht="15.75" thickBot="1" x14ac:dyDescent="0.3">
      <c r="A26" s="42" t="s">
        <v>128</v>
      </c>
      <c r="B26" s="42" t="s">
        <v>151</v>
      </c>
      <c r="C26" s="42" t="s">
        <v>103</v>
      </c>
      <c r="D26" s="42" t="s">
        <v>51</v>
      </c>
      <c r="E26" s="42" t="s">
        <v>104</v>
      </c>
      <c r="F26" s="46">
        <v>24074758.23</v>
      </c>
      <c r="G26" s="45">
        <f t="shared" si="1"/>
        <v>1.1996469066388501E-3</v>
      </c>
      <c r="L26" s="42" t="s">
        <v>104</v>
      </c>
      <c r="M26" s="46">
        <v>24074758.23</v>
      </c>
    </row>
    <row r="27" spans="1:13" ht="15.75" thickBot="1" x14ac:dyDescent="0.3">
      <c r="A27" s="42" t="s">
        <v>152</v>
      </c>
      <c r="B27" s="42" t="s">
        <v>153</v>
      </c>
      <c r="C27" s="42" t="s">
        <v>103</v>
      </c>
      <c r="D27" s="42" t="s">
        <v>118</v>
      </c>
      <c r="E27" s="42" t="s">
        <v>110</v>
      </c>
      <c r="F27" s="46">
        <v>15574255.300000001</v>
      </c>
      <c r="G27" s="45">
        <f t="shared" si="1"/>
        <v>7.7606624396197384E-4</v>
      </c>
      <c r="L27" s="42"/>
      <c r="M27" s="46"/>
    </row>
    <row r="28" spans="1:13" ht="15.75" thickBot="1" x14ac:dyDescent="0.3">
      <c r="A28" s="42" t="s">
        <v>154</v>
      </c>
      <c r="B28" s="42" t="s">
        <v>155</v>
      </c>
      <c r="C28" s="42" t="s">
        <v>103</v>
      </c>
      <c r="D28" s="42" t="s">
        <v>118</v>
      </c>
      <c r="E28" s="42" t="s">
        <v>110</v>
      </c>
      <c r="F28" s="46">
        <v>15109304.779999999</v>
      </c>
      <c r="G28" s="45">
        <f t="shared" si="1"/>
        <v>7.5289772664066299E-4</v>
      </c>
      <c r="L28" s="42"/>
      <c r="M28" s="46"/>
    </row>
    <row r="29" spans="1:13" ht="15.75" thickBot="1" x14ac:dyDescent="0.3">
      <c r="A29" s="42" t="s">
        <v>156</v>
      </c>
      <c r="B29" s="42" t="s">
        <v>157</v>
      </c>
      <c r="C29" s="42" t="s">
        <v>103</v>
      </c>
      <c r="D29" s="42" t="s">
        <v>51</v>
      </c>
      <c r="E29" s="42" t="s">
        <v>104</v>
      </c>
      <c r="F29" s="46">
        <v>13466468.02</v>
      </c>
      <c r="G29" s="45">
        <f t="shared" si="1"/>
        <v>6.7103505460806455E-4</v>
      </c>
      <c r="L29" s="42" t="s">
        <v>104</v>
      </c>
      <c r="M29" s="46">
        <v>13466468.02</v>
      </c>
    </row>
    <row r="30" spans="1:13" ht="15.75" thickBot="1" x14ac:dyDescent="0.3">
      <c r="A30" s="42" t="s">
        <v>158</v>
      </c>
      <c r="B30" s="42" t="s">
        <v>159</v>
      </c>
      <c r="C30" s="42" t="s">
        <v>103</v>
      </c>
      <c r="D30" s="42" t="s">
        <v>160</v>
      </c>
      <c r="E30" s="42" t="s">
        <v>104</v>
      </c>
      <c r="F30" s="46">
        <v>9638113.1500000004</v>
      </c>
      <c r="G30" s="45">
        <f t="shared" si="1"/>
        <v>4.8026786046078291E-4</v>
      </c>
      <c r="L30" s="42" t="s">
        <v>104</v>
      </c>
      <c r="M30" s="46">
        <v>9638113.1500000004</v>
      </c>
    </row>
    <row r="31" spans="1:13" ht="13.5" customHeight="1" thickBot="1" x14ac:dyDescent="0.3">
      <c r="A31" s="51" t="s">
        <v>154</v>
      </c>
      <c r="B31" s="51" t="s">
        <v>161</v>
      </c>
      <c r="C31" s="51" t="s">
        <v>103</v>
      </c>
      <c r="D31" s="51" t="s">
        <v>118</v>
      </c>
      <c r="E31" s="51" t="s">
        <v>110</v>
      </c>
      <c r="F31" s="46">
        <v>8214530.6600000001</v>
      </c>
      <c r="G31" s="45">
        <f t="shared" si="1"/>
        <v>4.0933064422134355E-4</v>
      </c>
      <c r="L31" s="51"/>
      <c r="M31" s="46"/>
    </row>
    <row r="32" spans="1:13" ht="15.75" thickBot="1" x14ac:dyDescent="0.3">
      <c r="A32" s="42" t="s">
        <v>162</v>
      </c>
      <c r="B32" s="42" t="s">
        <v>163</v>
      </c>
      <c r="C32" s="42" t="s">
        <v>103</v>
      </c>
      <c r="D32" s="42" t="s">
        <v>118</v>
      </c>
      <c r="E32" s="42" t="s">
        <v>110</v>
      </c>
      <c r="F32" s="46">
        <v>1591860.04</v>
      </c>
      <c r="G32" s="45">
        <f t="shared" si="1"/>
        <v>7.9322498466809994E-5</v>
      </c>
      <c r="L32" s="42"/>
      <c r="M32" s="46"/>
    </row>
    <row r="33" spans="1:13" ht="15.75" thickBot="1" x14ac:dyDescent="0.3">
      <c r="A33" s="42" t="s">
        <v>164</v>
      </c>
      <c r="B33" s="42" t="s">
        <v>165</v>
      </c>
      <c r="C33" s="42" t="s">
        <v>103</v>
      </c>
      <c r="D33" s="42" t="s">
        <v>160</v>
      </c>
      <c r="E33" s="42" t="s">
        <v>110</v>
      </c>
      <c r="F33" s="46">
        <v>1007528.44</v>
      </c>
      <c r="G33" s="45">
        <f t="shared" si="1"/>
        <v>5.020521347917463E-5</v>
      </c>
      <c r="L33" s="42"/>
      <c r="M33" s="46"/>
    </row>
    <row r="34" spans="1:13" ht="15.75" thickBot="1" x14ac:dyDescent="0.3">
      <c r="A34" s="42" t="s">
        <v>158</v>
      </c>
      <c r="B34" s="42" t="s">
        <v>166</v>
      </c>
      <c r="C34" s="42" t="s">
        <v>103</v>
      </c>
      <c r="D34" s="42" t="s">
        <v>51</v>
      </c>
      <c r="E34" s="42" t="s">
        <v>104</v>
      </c>
      <c r="F34" s="52">
        <v>0</v>
      </c>
      <c r="G34" s="45">
        <f t="shared" si="1"/>
        <v>0</v>
      </c>
      <c r="L34" s="42" t="s">
        <v>104</v>
      </c>
      <c r="M34" s="52">
        <v>0</v>
      </c>
    </row>
    <row r="35" spans="1:13" ht="13.5" customHeight="1" thickBot="1" x14ac:dyDescent="0.3">
      <c r="A35" s="42" t="s">
        <v>167</v>
      </c>
      <c r="B35" s="42" t="s">
        <v>168</v>
      </c>
      <c r="C35" s="42" t="s">
        <v>103</v>
      </c>
      <c r="D35" s="42" t="s">
        <v>131</v>
      </c>
      <c r="E35" s="42" t="s">
        <v>110</v>
      </c>
      <c r="F35" s="50">
        <v>0</v>
      </c>
      <c r="G35" s="45">
        <f t="shared" si="1"/>
        <v>0</v>
      </c>
      <c r="L35" s="42" t="s">
        <v>110</v>
      </c>
      <c r="M35" s="50">
        <v>0</v>
      </c>
    </row>
    <row r="36" spans="1:13" ht="12.75" customHeight="1" x14ac:dyDescent="0.2">
      <c r="M36" s="53">
        <f>SUM(M2:M35)</f>
        <v>13913729223.499998</v>
      </c>
    </row>
    <row r="37" spans="1:13" ht="12.75" customHeight="1" x14ac:dyDescent="0.2">
      <c r="F37" s="54">
        <f>SUM(F2:F35)</f>
        <v>20068203482.849995</v>
      </c>
    </row>
    <row r="38" spans="1:13" ht="12.75" customHeight="1" x14ac:dyDescent="0.25">
      <c r="F38" s="55">
        <f>F5/F37</f>
        <v>8.0764129086348224E-2</v>
      </c>
    </row>
    <row r="41" spans="1:13" ht="12.75" customHeight="1" x14ac:dyDescent="0.25">
      <c r="F41" s="41">
        <v>20068203482.849998</v>
      </c>
      <c r="M41" s="45">
        <f>M36/F41</f>
        <v>0.69332211203611094</v>
      </c>
    </row>
    <row r="43" spans="1:13" ht="12.75" customHeight="1" x14ac:dyDescent="0.2">
      <c r="B43" s="56">
        <v>1078.125</v>
      </c>
    </row>
    <row r="44" spans="1:13" ht="12.75" customHeight="1" x14ac:dyDescent="0.2">
      <c r="A44" s="57" t="s">
        <v>169</v>
      </c>
      <c r="B44" s="58">
        <v>1046244</v>
      </c>
    </row>
    <row r="45" spans="1:13" ht="12.75" customHeight="1" x14ac:dyDescent="0.2">
      <c r="A45" s="57"/>
      <c r="B45" s="58">
        <f>B43*1000-B44</f>
        <v>31881</v>
      </c>
    </row>
    <row r="46" spans="1:13" ht="12.75" customHeight="1" x14ac:dyDescent="0.2">
      <c r="A46" s="57"/>
    </row>
    <row r="47" spans="1:13" ht="12.75" customHeight="1" x14ac:dyDescent="0.2">
      <c r="A47" s="57"/>
    </row>
    <row r="48" spans="1:13" ht="12.75" customHeight="1" x14ac:dyDescent="0.2">
      <c r="A48" s="57" t="s">
        <v>170</v>
      </c>
      <c r="B48" s="58">
        <v>1051229</v>
      </c>
    </row>
    <row r="49" spans="1:3" ht="12.75" customHeight="1" x14ac:dyDescent="0.2">
      <c r="A49" s="59">
        <v>40359</v>
      </c>
      <c r="B49" s="58">
        <v>1051233</v>
      </c>
    </row>
    <row r="50" spans="1:3" ht="12.75" customHeight="1" x14ac:dyDescent="0.2">
      <c r="A50" s="59">
        <v>40268</v>
      </c>
      <c r="B50" s="58">
        <v>1051589</v>
      </c>
    </row>
    <row r="51" spans="1:3" ht="12.75" customHeight="1" x14ac:dyDescent="0.2">
      <c r="A51" s="59">
        <v>40178</v>
      </c>
      <c r="B51" s="58">
        <v>1051596</v>
      </c>
    </row>
    <row r="52" spans="1:3" ht="12.75" customHeight="1" x14ac:dyDescent="0.2">
      <c r="A52" s="59">
        <v>39813</v>
      </c>
      <c r="B52" s="58">
        <v>1052011</v>
      </c>
    </row>
    <row r="56" spans="1:3" ht="12.75" customHeight="1" x14ac:dyDescent="0.2">
      <c r="A56" s="14" t="s">
        <v>171</v>
      </c>
      <c r="B56" s="60"/>
    </row>
    <row r="57" spans="1:3" ht="12.75" customHeight="1" x14ac:dyDescent="0.2">
      <c r="A57" s="14" t="s">
        <v>172</v>
      </c>
      <c r="B57" s="60">
        <v>10.925000000000001</v>
      </c>
    </row>
    <row r="58" spans="1:3" ht="12.75" customHeight="1" x14ac:dyDescent="0.2">
      <c r="A58" s="14" t="s">
        <v>173</v>
      </c>
      <c r="B58" s="60">
        <v>397.64100000000002</v>
      </c>
    </row>
    <row r="59" spans="1:3" ht="12.75" customHeight="1" x14ac:dyDescent="0.2">
      <c r="A59" s="14" t="s">
        <v>94</v>
      </c>
      <c r="B59" s="60">
        <v>1078.125</v>
      </c>
    </row>
    <row r="61" spans="1:3" ht="12.75" customHeight="1" x14ac:dyDescent="0.2">
      <c r="A61" s="14" t="s">
        <v>171</v>
      </c>
      <c r="B61" s="60"/>
    </row>
    <row r="62" spans="1:3" ht="12.75" customHeight="1" x14ac:dyDescent="0.2">
      <c r="A62" s="14" t="s">
        <v>172</v>
      </c>
      <c r="B62" s="60">
        <v>10.925000000000001</v>
      </c>
    </row>
    <row r="63" spans="1:3" ht="12.75" customHeight="1" x14ac:dyDescent="0.2">
      <c r="A63" s="14" t="s">
        <v>173</v>
      </c>
      <c r="B63" s="60">
        <v>397.64100000000002</v>
      </c>
    </row>
    <row r="64" spans="1:3" ht="12.75" customHeight="1" x14ac:dyDescent="0.25">
      <c r="A64" s="14" t="s">
        <v>94</v>
      </c>
      <c r="B64" s="60">
        <v>31.881</v>
      </c>
      <c r="C64" s="45">
        <f>B64/B65</f>
        <v>7.2383283346236893E-2</v>
      </c>
    </row>
    <row r="65" spans="2:2" ht="12.75" customHeight="1" x14ac:dyDescent="0.2">
      <c r="B65" s="41">
        <f>SUM(B62:B64)</f>
        <v>440.447</v>
      </c>
    </row>
  </sheetData>
  <autoFilter ref="A1:F35">
    <sortState ref="A2:F35">
      <sortCondition descending="1" ref="F1:F35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opLeftCell="B1" workbookViewId="0">
      <selection activeCell="L5" sqref="L5"/>
    </sheetView>
  </sheetViews>
  <sheetFormatPr defaultRowHeight="12.75" customHeight="1" x14ac:dyDescent="0.2"/>
  <cols>
    <col min="1" max="1" width="75.5703125" style="41" customWidth="1"/>
    <col min="2" max="2" width="82.28515625" style="41" customWidth="1"/>
    <col min="3" max="3" width="29.42578125" style="41" customWidth="1"/>
    <col min="4" max="4" width="7.42578125" style="41" customWidth="1"/>
    <col min="5" max="5" width="13.85546875" style="41" customWidth="1"/>
    <col min="6" max="6" width="4.140625" style="41" customWidth="1"/>
    <col min="7" max="7" width="29.7109375" style="41" customWidth="1"/>
    <col min="8" max="8" width="15.42578125" style="41" bestFit="1" customWidth="1"/>
    <col min="9" max="9" width="3.85546875" style="41" customWidth="1"/>
    <col min="10" max="16384" width="9.140625" style="41"/>
  </cols>
  <sheetData>
    <row r="1" spans="1:16" ht="13.5" thickBot="1" x14ac:dyDescent="0.25">
      <c r="A1" s="40" t="s">
        <v>95</v>
      </c>
      <c r="B1" s="40" t="s">
        <v>96</v>
      </c>
      <c r="C1" s="40" t="s">
        <v>98</v>
      </c>
      <c r="D1" s="40" t="s">
        <v>99</v>
      </c>
      <c r="E1" s="40" t="s">
        <v>100</v>
      </c>
    </row>
    <row r="2" spans="1:16" ht="13.5" thickBot="1" x14ac:dyDescent="0.25">
      <c r="A2" s="42" t="s">
        <v>123</v>
      </c>
      <c r="B2" s="42" t="s">
        <v>124</v>
      </c>
      <c r="C2" s="42" t="s">
        <v>125</v>
      </c>
      <c r="D2" s="42" t="s">
        <v>110</v>
      </c>
      <c r="E2" s="46">
        <v>349788081.12</v>
      </c>
    </row>
    <row r="3" spans="1:16" ht="13.5" thickBot="1" x14ac:dyDescent="0.25">
      <c r="A3" s="42" t="s">
        <v>142</v>
      </c>
      <c r="B3" s="42" t="s">
        <v>143</v>
      </c>
      <c r="C3" s="42" t="s">
        <v>125</v>
      </c>
      <c r="D3" s="42" t="s">
        <v>110</v>
      </c>
      <c r="E3" s="46">
        <v>42621905.240000002</v>
      </c>
    </row>
    <row r="4" spans="1:16" ht="13.5" thickBot="1" x14ac:dyDescent="0.25">
      <c r="A4" s="42" t="s">
        <v>149</v>
      </c>
      <c r="B4" s="42" t="s">
        <v>150</v>
      </c>
      <c r="C4" s="42" t="s">
        <v>125</v>
      </c>
      <c r="D4" s="42" t="s">
        <v>110</v>
      </c>
      <c r="E4" s="46">
        <v>25180645.68</v>
      </c>
    </row>
    <row r="5" spans="1:16" ht="21.75" thickBot="1" x14ac:dyDescent="0.25">
      <c r="A5" s="42" t="s">
        <v>101</v>
      </c>
      <c r="B5" s="43" t="s">
        <v>102</v>
      </c>
      <c r="C5" s="42" t="s">
        <v>74</v>
      </c>
      <c r="D5" s="42" t="s">
        <v>104</v>
      </c>
      <c r="E5" s="44">
        <v>4470522567.4099998</v>
      </c>
    </row>
    <row r="6" spans="1:16" ht="32.25" thickBot="1" x14ac:dyDescent="0.25">
      <c r="A6" s="42" t="s">
        <v>101</v>
      </c>
      <c r="B6" s="43" t="s">
        <v>105</v>
      </c>
      <c r="C6" s="42" t="s">
        <v>74</v>
      </c>
      <c r="D6" s="42" t="s">
        <v>104</v>
      </c>
      <c r="E6" s="61">
        <v>4455623282.96</v>
      </c>
    </row>
    <row r="7" spans="1:16" ht="13.5" thickBot="1" x14ac:dyDescent="0.25">
      <c r="A7" s="42" t="s">
        <v>108</v>
      </c>
      <c r="B7" s="42" t="s">
        <v>109</v>
      </c>
      <c r="C7" s="42" t="s">
        <v>80</v>
      </c>
      <c r="D7" s="42" t="s">
        <v>110</v>
      </c>
      <c r="E7" s="46">
        <v>1620790976.6199999</v>
      </c>
    </row>
    <row r="8" spans="1:16" ht="13.5" thickBot="1" x14ac:dyDescent="0.25">
      <c r="A8" s="42" t="s">
        <v>111</v>
      </c>
      <c r="B8" s="42" t="s">
        <v>112</v>
      </c>
      <c r="C8" s="42" t="s">
        <v>80</v>
      </c>
      <c r="D8" s="42" t="s">
        <v>110</v>
      </c>
      <c r="E8" s="46">
        <v>1096528871.3800001</v>
      </c>
      <c r="N8" s="41" t="s">
        <v>174</v>
      </c>
      <c r="O8" s="41" t="s">
        <v>175</v>
      </c>
      <c r="P8" s="41" t="s">
        <v>176</v>
      </c>
    </row>
    <row r="9" spans="1:16" ht="13.5" thickBot="1" x14ac:dyDescent="0.25">
      <c r="A9" s="42" t="s">
        <v>111</v>
      </c>
      <c r="B9" s="42" t="s">
        <v>114</v>
      </c>
      <c r="C9" s="42" t="s">
        <v>80</v>
      </c>
      <c r="D9" s="42" t="s">
        <v>110</v>
      </c>
      <c r="E9" s="46">
        <v>684498667.63</v>
      </c>
      <c r="M9" s="41">
        <v>25</v>
      </c>
      <c r="N9" s="41">
        <v>17</v>
      </c>
      <c r="O9" s="41">
        <v>7</v>
      </c>
      <c r="P9" s="41">
        <v>1</v>
      </c>
    </row>
    <row r="10" spans="1:16" ht="15.75" thickBot="1" x14ac:dyDescent="0.3">
      <c r="A10" s="42" t="s">
        <v>111</v>
      </c>
      <c r="B10" s="42" t="s">
        <v>115</v>
      </c>
      <c r="C10" s="42" t="s">
        <v>80</v>
      </c>
      <c r="D10" s="42" t="s">
        <v>110</v>
      </c>
      <c r="E10" s="46">
        <v>594783395.25</v>
      </c>
      <c r="N10" s="45">
        <f>N9/$M$9</f>
        <v>0.68</v>
      </c>
      <c r="O10" s="45">
        <f t="shared" ref="O10:P10" si="0">O9/$M$9</f>
        <v>0.28000000000000003</v>
      </c>
      <c r="P10" s="45">
        <f t="shared" si="0"/>
        <v>0.04</v>
      </c>
    </row>
    <row r="11" spans="1:16" ht="13.5" thickBot="1" x14ac:dyDescent="0.25">
      <c r="A11" s="42" t="s">
        <v>108</v>
      </c>
      <c r="B11" s="42" t="s">
        <v>119</v>
      </c>
      <c r="C11" s="42" t="s">
        <v>80</v>
      </c>
      <c r="D11" s="42" t="s">
        <v>110</v>
      </c>
      <c r="E11" s="47">
        <v>362136412.01999998</v>
      </c>
    </row>
    <row r="12" spans="1:16" ht="15.75" thickBot="1" x14ac:dyDescent="0.3">
      <c r="A12" s="42" t="s">
        <v>136</v>
      </c>
      <c r="B12" s="42" t="s">
        <v>137</v>
      </c>
      <c r="C12" s="42" t="s">
        <v>80</v>
      </c>
      <c r="D12" s="42" t="s">
        <v>110</v>
      </c>
      <c r="E12" s="46">
        <v>64786319.329999998</v>
      </c>
      <c r="G12" s="42" t="s">
        <v>177</v>
      </c>
      <c r="H12" s="53">
        <v>8926145850.3699989</v>
      </c>
      <c r="I12" s="41">
        <v>2</v>
      </c>
      <c r="J12" s="41">
        <v>1</v>
      </c>
      <c r="K12" s="45">
        <f>I12/$I$19</f>
        <v>5.8823529411764705E-2</v>
      </c>
    </row>
    <row r="13" spans="1:16" ht="15.75" thickBot="1" x14ac:dyDescent="0.3">
      <c r="A13" s="42" t="s">
        <v>140</v>
      </c>
      <c r="B13" s="42" t="s">
        <v>141</v>
      </c>
      <c r="C13" s="42" t="s">
        <v>80</v>
      </c>
      <c r="D13" s="42" t="s">
        <v>110</v>
      </c>
      <c r="E13" s="50">
        <v>48370498</v>
      </c>
      <c r="G13" s="42" t="s">
        <v>178</v>
      </c>
      <c r="H13" s="53">
        <v>4977945259.9800005</v>
      </c>
      <c r="I13" s="41">
        <v>9</v>
      </c>
      <c r="J13" s="41">
        <v>2</v>
      </c>
      <c r="K13" s="45">
        <f t="shared" ref="K13:K18" si="1">I13/$I$19</f>
        <v>0.26470588235294118</v>
      </c>
    </row>
    <row r="14" spans="1:16" ht="15.75" thickBot="1" x14ac:dyDescent="0.3">
      <c r="A14" s="42" t="s">
        <v>123</v>
      </c>
      <c r="B14" s="42" t="s">
        <v>146</v>
      </c>
      <c r="C14" s="42" t="s">
        <v>80</v>
      </c>
      <c r="D14" s="42" t="s">
        <v>110</v>
      </c>
      <c r="E14" s="46">
        <v>34018318.509999998</v>
      </c>
      <c r="G14" s="42" t="s">
        <v>179</v>
      </c>
      <c r="H14" s="53">
        <v>4505913458.7399998</v>
      </c>
      <c r="I14" s="41">
        <v>8</v>
      </c>
      <c r="J14" s="41">
        <v>3</v>
      </c>
      <c r="K14" s="45">
        <f t="shared" si="1"/>
        <v>0.23529411764705882</v>
      </c>
    </row>
    <row r="15" spans="1:16" ht="15.75" thickBot="1" x14ac:dyDescent="0.3">
      <c r="A15" s="42" t="s">
        <v>116</v>
      </c>
      <c r="B15" s="42" t="s">
        <v>117</v>
      </c>
      <c r="C15" s="42" t="s">
        <v>118</v>
      </c>
      <c r="D15" s="42" t="s">
        <v>110</v>
      </c>
      <c r="E15" s="44">
        <v>390700434.13</v>
      </c>
      <c r="G15" s="42" t="s">
        <v>180</v>
      </c>
      <c r="H15" s="53">
        <v>1056708773.8699998</v>
      </c>
      <c r="I15" s="41">
        <v>8</v>
      </c>
      <c r="J15" s="41">
        <v>4</v>
      </c>
      <c r="K15" s="45">
        <f t="shared" si="1"/>
        <v>0.23529411764705882</v>
      </c>
    </row>
    <row r="16" spans="1:16" ht="15.75" thickBot="1" x14ac:dyDescent="0.3">
      <c r="A16" s="42" t="s">
        <v>120</v>
      </c>
      <c r="B16" s="42" t="s">
        <v>121</v>
      </c>
      <c r="C16" s="42" t="s">
        <v>118</v>
      </c>
      <c r="D16" s="42" t="s">
        <v>110</v>
      </c>
      <c r="E16" s="46">
        <v>361443837.35000002</v>
      </c>
      <c r="G16" s="42" t="s">
        <v>181</v>
      </c>
      <c r="H16" s="53">
        <v>417590632.04000002</v>
      </c>
      <c r="I16" s="41">
        <v>3</v>
      </c>
      <c r="J16" s="41">
        <v>5</v>
      </c>
      <c r="K16" s="45">
        <f t="shared" si="1"/>
        <v>8.8235294117647065E-2</v>
      </c>
    </row>
    <row r="17" spans="1:11" ht="13.5" customHeight="1" thickBot="1" x14ac:dyDescent="0.3">
      <c r="A17" s="42" t="s">
        <v>126</v>
      </c>
      <c r="B17" s="49" t="s">
        <v>127</v>
      </c>
      <c r="C17" s="42" t="s">
        <v>118</v>
      </c>
      <c r="D17" s="42" t="s">
        <v>110</v>
      </c>
      <c r="E17" s="46">
        <v>234212322.31</v>
      </c>
      <c r="G17" s="42" t="s">
        <v>182</v>
      </c>
      <c r="H17" s="46">
        <v>173253866.25999999</v>
      </c>
      <c r="I17" s="41">
        <v>2</v>
      </c>
      <c r="J17" s="41">
        <v>6</v>
      </c>
      <c r="K17" s="45">
        <f t="shared" si="1"/>
        <v>5.8823529411764705E-2</v>
      </c>
    </row>
    <row r="18" spans="1:11" ht="15.75" thickBot="1" x14ac:dyDescent="0.3">
      <c r="A18" s="42" t="s">
        <v>147</v>
      </c>
      <c r="B18" s="42" t="s">
        <v>148</v>
      </c>
      <c r="C18" s="42" t="s">
        <v>118</v>
      </c>
      <c r="D18" s="42" t="s">
        <v>110</v>
      </c>
      <c r="E18" s="46">
        <v>29862229.300000001</v>
      </c>
      <c r="G18" s="42" t="s">
        <v>183</v>
      </c>
      <c r="H18" s="53">
        <v>10645641.59</v>
      </c>
      <c r="I18" s="41">
        <v>2</v>
      </c>
      <c r="J18" s="41">
        <v>7</v>
      </c>
      <c r="K18" s="45">
        <f t="shared" si="1"/>
        <v>5.8823529411764705E-2</v>
      </c>
    </row>
    <row r="19" spans="1:11" ht="13.5" thickBot="1" x14ac:dyDescent="0.25">
      <c r="A19" s="42" t="s">
        <v>152</v>
      </c>
      <c r="B19" s="42" t="s">
        <v>153</v>
      </c>
      <c r="C19" s="42" t="s">
        <v>118</v>
      </c>
      <c r="D19" s="42" t="s">
        <v>110</v>
      </c>
      <c r="E19" s="46">
        <v>15574255.300000001</v>
      </c>
      <c r="I19" s="41">
        <f>SUM(I12:I18)</f>
        <v>34</v>
      </c>
    </row>
    <row r="20" spans="1:11" ht="13.5" thickBot="1" x14ac:dyDescent="0.25">
      <c r="A20" s="42" t="s">
        <v>154</v>
      </c>
      <c r="B20" s="42" t="s">
        <v>155</v>
      </c>
      <c r="C20" s="42" t="s">
        <v>118</v>
      </c>
      <c r="D20" s="42" t="s">
        <v>110</v>
      </c>
      <c r="E20" s="46">
        <v>15109304.779999999</v>
      </c>
    </row>
    <row r="21" spans="1:11" ht="13.5" thickBot="1" x14ac:dyDescent="0.25">
      <c r="A21" s="42" t="s">
        <v>154</v>
      </c>
      <c r="B21" s="42" t="s">
        <v>161</v>
      </c>
      <c r="C21" s="42" t="s">
        <v>118</v>
      </c>
      <c r="D21" s="42" t="s">
        <v>110</v>
      </c>
      <c r="E21" s="46">
        <v>8214530.6600000001</v>
      </c>
    </row>
    <row r="22" spans="1:11" ht="13.5" customHeight="1" thickBot="1" x14ac:dyDescent="0.25">
      <c r="A22" s="51" t="s">
        <v>162</v>
      </c>
      <c r="B22" s="51" t="s">
        <v>163</v>
      </c>
      <c r="C22" s="51" t="s">
        <v>118</v>
      </c>
      <c r="D22" s="51" t="s">
        <v>110</v>
      </c>
      <c r="E22" s="46">
        <v>1591860.04</v>
      </c>
    </row>
    <row r="23" spans="1:11" ht="13.5" thickBot="1" x14ac:dyDescent="0.25">
      <c r="A23" s="42" t="s">
        <v>126</v>
      </c>
      <c r="B23" s="42" t="s">
        <v>130</v>
      </c>
      <c r="C23" s="42" t="s">
        <v>131</v>
      </c>
      <c r="D23" s="42" t="s">
        <v>110</v>
      </c>
      <c r="E23" s="46">
        <v>173253866.25999999</v>
      </c>
    </row>
    <row r="24" spans="1:11" ht="13.5" thickBot="1" x14ac:dyDescent="0.25">
      <c r="A24" s="42" t="s">
        <v>167</v>
      </c>
      <c r="B24" s="42" t="s">
        <v>168</v>
      </c>
      <c r="C24" s="42" t="s">
        <v>131</v>
      </c>
      <c r="D24" s="42" t="s">
        <v>110</v>
      </c>
      <c r="E24" s="50">
        <v>0</v>
      </c>
    </row>
    <row r="25" spans="1:11" ht="13.5" thickBot="1" x14ac:dyDescent="0.25">
      <c r="A25" s="42" t="s">
        <v>158</v>
      </c>
      <c r="B25" s="42" t="s">
        <v>159</v>
      </c>
      <c r="C25" s="42" t="s">
        <v>160</v>
      </c>
      <c r="D25" s="42" t="s">
        <v>104</v>
      </c>
      <c r="E25" s="46">
        <v>9638113.1500000004</v>
      </c>
    </row>
    <row r="26" spans="1:11" ht="13.5" thickBot="1" x14ac:dyDescent="0.25">
      <c r="A26" s="42" t="s">
        <v>164</v>
      </c>
      <c r="B26" s="42" t="s">
        <v>165</v>
      </c>
      <c r="C26" s="42" t="s">
        <v>160</v>
      </c>
      <c r="D26" s="42" t="s">
        <v>110</v>
      </c>
      <c r="E26" s="46">
        <v>1007528.44</v>
      </c>
    </row>
    <row r="27" spans="1:11" ht="13.5" thickBot="1" x14ac:dyDescent="0.25">
      <c r="A27" s="42" t="s">
        <v>106</v>
      </c>
      <c r="B27" s="42" t="s">
        <v>107</v>
      </c>
      <c r="C27" s="42" t="s">
        <v>51</v>
      </c>
      <c r="D27" s="42" t="s">
        <v>104</v>
      </c>
      <c r="E27" s="46">
        <v>4342281088.46</v>
      </c>
    </row>
    <row r="28" spans="1:11" ht="13.5" thickBot="1" x14ac:dyDescent="0.25">
      <c r="A28" s="42" t="s">
        <v>128</v>
      </c>
      <c r="B28" s="42" t="s">
        <v>129</v>
      </c>
      <c r="C28" s="42" t="s">
        <v>51</v>
      </c>
      <c r="D28" s="42" t="s">
        <v>104</v>
      </c>
      <c r="E28" s="46">
        <v>231782165.71000001</v>
      </c>
    </row>
    <row r="29" spans="1:11" ht="13.5" thickBot="1" x14ac:dyDescent="0.25">
      <c r="A29" s="42" t="s">
        <v>132</v>
      </c>
      <c r="B29" s="42" t="s">
        <v>133</v>
      </c>
      <c r="C29" s="42" t="s">
        <v>51</v>
      </c>
      <c r="D29" s="42" t="s">
        <v>104</v>
      </c>
      <c r="E29" s="46">
        <v>149317882.44999999</v>
      </c>
    </row>
    <row r="30" spans="1:11" ht="13.5" thickBot="1" x14ac:dyDescent="0.25">
      <c r="A30" s="42" t="s">
        <v>134</v>
      </c>
      <c r="B30" s="42" t="s">
        <v>135</v>
      </c>
      <c r="C30" s="42" t="s">
        <v>51</v>
      </c>
      <c r="D30" s="42" t="s">
        <v>104</v>
      </c>
      <c r="E30" s="46">
        <v>121797273.17</v>
      </c>
    </row>
    <row r="31" spans="1:11" ht="13.5" customHeight="1" thickBot="1" x14ac:dyDescent="0.25">
      <c r="A31" s="51" t="s">
        <v>138</v>
      </c>
      <c r="B31" s="51" t="s">
        <v>139</v>
      </c>
      <c r="C31" s="51" t="s">
        <v>51</v>
      </c>
      <c r="D31" s="51" t="s">
        <v>104</v>
      </c>
      <c r="E31" s="46">
        <v>55344547.920000002</v>
      </c>
    </row>
    <row r="32" spans="1:11" ht="13.5" thickBot="1" x14ac:dyDescent="0.25">
      <c r="A32" s="42" t="s">
        <v>144</v>
      </c>
      <c r="B32" s="42" t="s">
        <v>145</v>
      </c>
      <c r="C32" s="42" t="s">
        <v>51</v>
      </c>
      <c r="D32" s="42" t="s">
        <v>104</v>
      </c>
      <c r="E32" s="46">
        <v>39881076.020000003</v>
      </c>
    </row>
    <row r="33" spans="1:5" ht="13.5" thickBot="1" x14ac:dyDescent="0.25">
      <c r="A33" s="42" t="s">
        <v>128</v>
      </c>
      <c r="B33" s="42" t="s">
        <v>151</v>
      </c>
      <c r="C33" s="42" t="s">
        <v>51</v>
      </c>
      <c r="D33" s="42" t="s">
        <v>104</v>
      </c>
      <c r="E33" s="46">
        <v>24074758.23</v>
      </c>
    </row>
    <row r="34" spans="1:5" ht="13.5" thickBot="1" x14ac:dyDescent="0.25">
      <c r="A34" s="42" t="s">
        <v>156</v>
      </c>
      <c r="B34" s="42" t="s">
        <v>157</v>
      </c>
      <c r="C34" s="42" t="s">
        <v>51</v>
      </c>
      <c r="D34" s="42" t="s">
        <v>104</v>
      </c>
      <c r="E34" s="47">
        <v>13466468.02</v>
      </c>
    </row>
    <row r="35" spans="1:5" ht="13.5" customHeight="1" thickBot="1" x14ac:dyDescent="0.25">
      <c r="A35" s="42" t="s">
        <v>158</v>
      </c>
      <c r="B35" s="42" t="s">
        <v>166</v>
      </c>
      <c r="C35" s="42" t="s">
        <v>51</v>
      </c>
      <c r="D35" s="42" t="s">
        <v>104</v>
      </c>
      <c r="E35" s="50">
        <v>0</v>
      </c>
    </row>
    <row r="41" spans="1:5" ht="12.75" customHeight="1" x14ac:dyDescent="0.2">
      <c r="E41" s="41">
        <v>20068203482.850002</v>
      </c>
    </row>
  </sheetData>
  <autoFilter ref="A1:E35">
    <sortState ref="A2:E35">
      <sortCondition ref="C1:C35"/>
    </sortState>
  </autoFilter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"/>
  <sheetViews>
    <sheetView zoomScale="85" zoomScaleNormal="85" workbookViewId="0">
      <selection activeCell="AA6" sqref="AA6:AA9"/>
    </sheetView>
  </sheetViews>
  <sheetFormatPr defaultRowHeight="15" x14ac:dyDescent="0.25"/>
  <cols>
    <col min="1" max="1" width="10.5703125" customWidth="1"/>
    <col min="9" max="9" width="11.85546875" customWidth="1"/>
    <col min="10" max="10" width="12.42578125" customWidth="1"/>
    <col min="11" max="11" width="12.7109375" customWidth="1"/>
    <col min="12" max="12" width="13.5703125" customWidth="1"/>
    <col min="13" max="13" width="13" customWidth="1"/>
    <col min="14" max="14" width="12.28515625" customWidth="1"/>
    <col min="15" max="15" width="11" customWidth="1"/>
    <col min="16" max="16" width="12.28515625" customWidth="1"/>
  </cols>
  <sheetData>
    <row r="1" spans="1:27" x14ac:dyDescent="0.25">
      <c r="A1" t="s">
        <v>298</v>
      </c>
    </row>
    <row r="2" spans="1:27" x14ac:dyDescent="0.25">
      <c r="A2" t="s">
        <v>82</v>
      </c>
    </row>
    <row r="3" spans="1:27" x14ac:dyDescent="0.25">
      <c r="A3" t="s">
        <v>331</v>
      </c>
    </row>
    <row r="4" spans="1:27" x14ac:dyDescent="0.25">
      <c r="A4" t="s">
        <v>306</v>
      </c>
    </row>
    <row r="5" spans="1:27" x14ac:dyDescent="0.25">
      <c r="B5" t="s">
        <v>36</v>
      </c>
      <c r="C5" t="s">
        <v>37</v>
      </c>
      <c r="D5" t="s">
        <v>43</v>
      </c>
      <c r="E5" t="s">
        <v>61</v>
      </c>
      <c r="F5" t="s">
        <v>69</v>
      </c>
      <c r="G5" t="s">
        <v>77</v>
      </c>
      <c r="H5" t="s">
        <v>91</v>
      </c>
      <c r="I5" t="s">
        <v>184</v>
      </c>
      <c r="J5" t="s">
        <v>185</v>
      </c>
      <c r="K5" t="s">
        <v>188</v>
      </c>
      <c r="L5" t="s">
        <v>189</v>
      </c>
      <c r="M5" t="s">
        <v>191</v>
      </c>
      <c r="N5" t="s">
        <v>196</v>
      </c>
      <c r="O5" t="s">
        <v>198</v>
      </c>
      <c r="P5" t="s">
        <v>290</v>
      </c>
      <c r="Q5" t="s">
        <v>292</v>
      </c>
      <c r="R5" t="s">
        <v>303</v>
      </c>
      <c r="S5" t="s">
        <v>307</v>
      </c>
      <c r="T5" t="s">
        <v>312</v>
      </c>
      <c r="U5" t="s">
        <v>321</v>
      </c>
      <c r="V5" t="s">
        <v>323</v>
      </c>
      <c r="W5" t="s">
        <v>325</v>
      </c>
      <c r="X5" t="s">
        <v>330</v>
      </c>
      <c r="Y5" t="s">
        <v>336</v>
      </c>
      <c r="Z5" t="s">
        <v>344</v>
      </c>
      <c r="AA5" t="s">
        <v>345</v>
      </c>
    </row>
    <row r="6" spans="1:27" x14ac:dyDescent="0.25">
      <c r="A6" t="s">
        <v>30</v>
      </c>
      <c r="B6">
        <v>1134</v>
      </c>
      <c r="C6">
        <v>1120</v>
      </c>
      <c r="D6">
        <v>1135</v>
      </c>
      <c r="E6">
        <v>1150</v>
      </c>
      <c r="F6">
        <v>1131</v>
      </c>
      <c r="G6">
        <v>1132</v>
      </c>
      <c r="H6">
        <v>1136</v>
      </c>
      <c r="I6">
        <v>1131</v>
      </c>
      <c r="J6">
        <v>1117</v>
      </c>
      <c r="K6">
        <v>1109</v>
      </c>
      <c r="L6">
        <v>1111</v>
      </c>
      <c r="M6">
        <v>1128</v>
      </c>
      <c r="N6">
        <v>1134</v>
      </c>
      <c r="O6">
        <v>1143</v>
      </c>
      <c r="P6">
        <v>1193</v>
      </c>
      <c r="Q6">
        <v>1216</v>
      </c>
      <c r="R6">
        <v>1216</v>
      </c>
      <c r="S6">
        <v>1250</v>
      </c>
      <c r="T6">
        <v>1272</v>
      </c>
      <c r="U6">
        <v>1294</v>
      </c>
      <c r="V6">
        <v>1316</v>
      </c>
      <c r="W6">
        <v>1388</v>
      </c>
      <c r="X6">
        <v>1460</v>
      </c>
      <c r="Y6">
        <v>1534</v>
      </c>
      <c r="Z6">
        <v>1595</v>
      </c>
      <c r="AA6">
        <v>1618</v>
      </c>
    </row>
    <row r="7" spans="1:27" x14ac:dyDescent="0.25">
      <c r="A7" t="s">
        <v>31</v>
      </c>
      <c r="B7">
        <v>364</v>
      </c>
      <c r="C7">
        <v>362</v>
      </c>
      <c r="D7">
        <v>353</v>
      </c>
      <c r="E7">
        <v>356</v>
      </c>
      <c r="F7">
        <v>338</v>
      </c>
      <c r="G7">
        <v>332</v>
      </c>
      <c r="H7">
        <v>331</v>
      </c>
      <c r="I7">
        <v>327</v>
      </c>
      <c r="J7">
        <v>325</v>
      </c>
      <c r="K7">
        <v>312</v>
      </c>
      <c r="L7">
        <v>303</v>
      </c>
      <c r="M7">
        <v>268</v>
      </c>
      <c r="N7">
        <v>267</v>
      </c>
      <c r="O7">
        <v>265</v>
      </c>
      <c r="P7">
        <v>264</v>
      </c>
      <c r="Q7">
        <v>255</v>
      </c>
      <c r="R7">
        <v>254</v>
      </c>
      <c r="S7">
        <v>256</v>
      </c>
      <c r="T7">
        <v>257</v>
      </c>
      <c r="U7">
        <v>261</v>
      </c>
      <c r="V7">
        <v>259</v>
      </c>
      <c r="W7">
        <v>255</v>
      </c>
      <c r="X7">
        <v>251</v>
      </c>
      <c r="Y7">
        <v>262</v>
      </c>
      <c r="Z7">
        <v>264</v>
      </c>
      <c r="AA7">
        <v>272</v>
      </c>
    </row>
    <row r="8" spans="1:27" x14ac:dyDescent="0.25">
      <c r="A8" t="s">
        <v>32</v>
      </c>
      <c r="B8">
        <v>49</v>
      </c>
      <c r="C8">
        <v>49</v>
      </c>
      <c r="D8">
        <v>46</v>
      </c>
      <c r="E8">
        <v>47</v>
      </c>
      <c r="F8">
        <v>43</v>
      </c>
      <c r="G8">
        <v>36</v>
      </c>
      <c r="H8">
        <v>37</v>
      </c>
      <c r="I8">
        <v>39</v>
      </c>
      <c r="J8">
        <v>43</v>
      </c>
      <c r="K8">
        <v>43</v>
      </c>
      <c r="L8">
        <v>42</v>
      </c>
      <c r="M8">
        <v>40</v>
      </c>
      <c r="N8">
        <v>37</v>
      </c>
      <c r="O8">
        <v>36</v>
      </c>
      <c r="P8">
        <v>36</v>
      </c>
      <c r="Q8">
        <v>40</v>
      </c>
      <c r="R8">
        <v>43</v>
      </c>
      <c r="S8">
        <v>41</v>
      </c>
      <c r="T8">
        <v>39</v>
      </c>
      <c r="U8">
        <v>35</v>
      </c>
      <c r="V8">
        <v>39</v>
      </c>
      <c r="W8">
        <v>45</v>
      </c>
      <c r="X8">
        <v>40</v>
      </c>
      <c r="Y8">
        <v>44</v>
      </c>
      <c r="Z8">
        <v>46</v>
      </c>
      <c r="AA8">
        <v>47</v>
      </c>
    </row>
    <row r="9" spans="1:27" x14ac:dyDescent="0.25">
      <c r="A9" t="s">
        <v>192</v>
      </c>
      <c r="L9">
        <v>1</v>
      </c>
      <c r="M9">
        <v>4</v>
      </c>
      <c r="N9">
        <v>7</v>
      </c>
      <c r="O9">
        <v>12</v>
      </c>
      <c r="P9">
        <v>15</v>
      </c>
      <c r="Q9">
        <v>20</v>
      </c>
      <c r="R9">
        <v>21</v>
      </c>
      <c r="S9">
        <v>26</v>
      </c>
      <c r="T9">
        <v>34</v>
      </c>
      <c r="U9">
        <v>41</v>
      </c>
      <c r="V9">
        <v>58</v>
      </c>
      <c r="W9">
        <v>76</v>
      </c>
      <c r="X9">
        <v>94</v>
      </c>
      <c r="Y9">
        <v>125</v>
      </c>
      <c r="Z9">
        <v>126</v>
      </c>
      <c r="AA9">
        <v>129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"/>
  <sheetViews>
    <sheetView zoomScale="85" zoomScaleNormal="85" workbookViewId="0">
      <selection activeCell="K8" sqref="K8:AB12"/>
    </sheetView>
  </sheetViews>
  <sheetFormatPr defaultRowHeight="15" x14ac:dyDescent="0.25"/>
  <cols>
    <col min="1" max="1" width="32.42578125" customWidth="1"/>
    <col min="9" max="10" width="10.5703125" customWidth="1"/>
    <col min="11" max="11" width="11.140625" customWidth="1"/>
    <col min="12" max="12" width="10.85546875" customWidth="1"/>
    <col min="13" max="13" width="10.5703125" customWidth="1"/>
    <col min="15" max="15" width="11.28515625" customWidth="1"/>
    <col min="24" max="24" width="11.42578125" bestFit="1" customWidth="1"/>
  </cols>
  <sheetData>
    <row r="1" spans="1:27" x14ac:dyDescent="0.25">
      <c r="A1" t="s">
        <v>299</v>
      </c>
    </row>
    <row r="2" spans="1:27" x14ac:dyDescent="0.25">
      <c r="A2" t="s">
        <v>83</v>
      </c>
    </row>
    <row r="3" spans="1:27" x14ac:dyDescent="0.25">
      <c r="A3" t="s">
        <v>331</v>
      </c>
    </row>
    <row r="4" spans="1:27" x14ac:dyDescent="0.25">
      <c r="A4" t="s">
        <v>306</v>
      </c>
    </row>
    <row r="5" spans="1:27" x14ac:dyDescent="0.25">
      <c r="B5" t="s">
        <v>36</v>
      </c>
      <c r="C5" t="s">
        <v>37</v>
      </c>
      <c r="D5" t="s">
        <v>43</v>
      </c>
      <c r="E5" t="s">
        <v>61</v>
      </c>
      <c r="F5" t="s">
        <v>69</v>
      </c>
      <c r="G5" t="s">
        <v>77</v>
      </c>
      <c r="H5" t="s">
        <v>91</v>
      </c>
      <c r="I5" t="s">
        <v>184</v>
      </c>
      <c r="J5" t="s">
        <v>185</v>
      </c>
      <c r="K5" t="s">
        <v>188</v>
      </c>
      <c r="L5" t="s">
        <v>189</v>
      </c>
      <c r="M5" t="s">
        <v>191</v>
      </c>
      <c r="N5" t="s">
        <v>196</v>
      </c>
      <c r="O5" t="s">
        <v>198</v>
      </c>
      <c r="P5" t="s">
        <v>290</v>
      </c>
      <c r="Q5" t="s">
        <v>292</v>
      </c>
      <c r="R5" t="s">
        <v>303</v>
      </c>
      <c r="S5" t="s">
        <v>307</v>
      </c>
      <c r="T5" t="s">
        <v>312</v>
      </c>
      <c r="U5" t="s">
        <v>321</v>
      </c>
      <c r="V5" t="s">
        <v>323</v>
      </c>
      <c r="W5" t="s">
        <v>325</v>
      </c>
      <c r="X5" t="s">
        <v>330</v>
      </c>
      <c r="Y5" t="s">
        <v>336</v>
      </c>
      <c r="Z5" t="s">
        <v>344</v>
      </c>
      <c r="AA5" t="s">
        <v>345</v>
      </c>
    </row>
    <row r="6" spans="1:27" x14ac:dyDescent="0.25">
      <c r="A6" t="s">
        <v>293</v>
      </c>
      <c r="B6">
        <v>321</v>
      </c>
      <c r="C6">
        <v>314</v>
      </c>
      <c r="D6">
        <v>308</v>
      </c>
      <c r="E6">
        <v>301</v>
      </c>
      <c r="F6">
        <v>292</v>
      </c>
      <c r="G6">
        <v>286</v>
      </c>
      <c r="H6">
        <v>279</v>
      </c>
      <c r="I6">
        <v>278</v>
      </c>
      <c r="J6">
        <v>273</v>
      </c>
      <c r="K6">
        <v>261</v>
      </c>
      <c r="L6">
        <v>270</v>
      </c>
      <c r="M6">
        <v>260</v>
      </c>
      <c r="N6">
        <v>260</v>
      </c>
      <c r="O6">
        <v>256</v>
      </c>
      <c r="P6">
        <v>251</v>
      </c>
      <c r="Q6">
        <v>257</v>
      </c>
      <c r="R6">
        <v>258</v>
      </c>
      <c r="S6">
        <v>256</v>
      </c>
      <c r="T6">
        <v>255</v>
      </c>
      <c r="U6">
        <v>251</v>
      </c>
      <c r="V6">
        <v>262</v>
      </c>
      <c r="W6">
        <v>264</v>
      </c>
      <c r="X6">
        <v>256</v>
      </c>
      <c r="Y6">
        <v>241</v>
      </c>
      <c r="Z6">
        <v>244</v>
      </c>
      <c r="AA6">
        <v>261</v>
      </c>
    </row>
    <row r="7" spans="1:27" x14ac:dyDescent="0.25">
      <c r="A7" t="s">
        <v>294</v>
      </c>
      <c r="B7" s="9">
        <v>-4.46428571428571</v>
      </c>
      <c r="C7" s="9">
        <v>-2.180685358255452</v>
      </c>
      <c r="D7" s="9">
        <v>-1.9108280254777066</v>
      </c>
      <c r="E7" s="9">
        <v>-2.2727272727272707</v>
      </c>
      <c r="F7" s="9">
        <v>-2.9900332225913595</v>
      </c>
      <c r="G7" s="9">
        <v>-2.0547945205479423</v>
      </c>
      <c r="H7" s="9">
        <v>-2.4475524475524479</v>
      </c>
      <c r="I7" s="9">
        <v>-0.35842293906810374</v>
      </c>
      <c r="J7" s="9">
        <v>-1.7985611510791366</v>
      </c>
      <c r="K7" s="9">
        <v>-4.3956043956043906</v>
      </c>
      <c r="L7" s="9">
        <v>3.4482758620689724</v>
      </c>
      <c r="M7" s="9">
        <v>-3.703703703703709</v>
      </c>
      <c r="N7" s="9">
        <v>0</v>
      </c>
      <c r="O7" s="9">
        <v>-1.538461538461533</v>
      </c>
      <c r="P7" s="9">
        <v>-1.953125</v>
      </c>
      <c r="Q7" s="9">
        <v>2.3904382470119501</v>
      </c>
      <c r="R7" s="9">
        <v>0.38910505836575737</v>
      </c>
      <c r="S7" s="9">
        <v>-0.77519379844961378</v>
      </c>
      <c r="T7" s="9">
        <v>-0.390625</v>
      </c>
      <c r="U7" s="9">
        <v>-1.5686274509803977</v>
      </c>
      <c r="V7" s="9">
        <v>4.3824701195219085</v>
      </c>
      <c r="W7" s="9">
        <v>0.76335877862594437</v>
      </c>
      <c r="X7" s="9">
        <v>-3.0303030303030276</v>
      </c>
      <c r="Y7" s="141">
        <v>-5.859375</v>
      </c>
      <c r="Z7" s="9">
        <v>1.2448132780082943</v>
      </c>
      <c r="AA7" s="9">
        <v>6.9672131147541005</v>
      </c>
    </row>
    <row r="8" spans="1:27" x14ac:dyDescent="0.25">
      <c r="H8" s="3"/>
      <c r="I8" s="3"/>
      <c r="J8" s="3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</row>
    <row r="10" spans="1:27" x14ac:dyDescent="0.25">
      <c r="C10" s="33"/>
      <c r="D10" s="33"/>
      <c r="E10" s="33"/>
      <c r="F10" s="33"/>
      <c r="G10" s="33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zoomScale="85" zoomScaleNormal="85" workbookViewId="0">
      <selection activeCell="X26" sqref="X26"/>
    </sheetView>
  </sheetViews>
  <sheetFormatPr defaultRowHeight="15" x14ac:dyDescent="0.25"/>
  <cols>
    <col min="1" max="1" width="38.42578125" customWidth="1"/>
    <col min="3" max="3" width="6" customWidth="1"/>
    <col min="7" max="7" width="6.140625" customWidth="1"/>
    <col min="8" max="8" width="13.140625" customWidth="1"/>
    <col min="9" max="9" width="9" customWidth="1"/>
    <col min="10" max="10" width="10.5703125" customWidth="1"/>
    <col min="11" max="11" width="13.7109375" customWidth="1"/>
    <col min="12" max="12" width="9" customWidth="1"/>
    <col min="13" max="13" width="12.140625" customWidth="1"/>
    <col min="14" max="14" width="11.42578125" customWidth="1"/>
    <col min="15" max="15" width="11.85546875" customWidth="1"/>
    <col min="16" max="17" width="12" customWidth="1"/>
    <col min="21" max="21" width="14.42578125" customWidth="1"/>
    <col min="22" max="22" width="11.140625" bestFit="1" customWidth="1"/>
    <col min="24" max="24" width="10.7109375" bestFit="1" customWidth="1"/>
  </cols>
  <sheetData>
    <row r="1" spans="1:26" x14ac:dyDescent="0.25">
      <c r="A1" t="s">
        <v>309</v>
      </c>
    </row>
    <row r="2" spans="1:26" x14ac:dyDescent="0.25">
      <c r="A2" t="s">
        <v>84</v>
      </c>
    </row>
    <row r="3" spans="1:26" x14ac:dyDescent="0.25">
      <c r="A3" t="s">
        <v>308</v>
      </c>
    </row>
    <row r="4" spans="1:26" x14ac:dyDescent="0.25">
      <c r="A4" t="s">
        <v>306</v>
      </c>
    </row>
    <row r="6" spans="1:26" x14ac:dyDescent="0.25">
      <c r="A6" t="s">
        <v>2</v>
      </c>
      <c r="B6" t="s">
        <v>36</v>
      </c>
      <c r="C6" t="s">
        <v>37</v>
      </c>
      <c r="D6" t="s">
        <v>43</v>
      </c>
      <c r="E6" t="s">
        <v>61</v>
      </c>
      <c r="F6" t="s">
        <v>69</v>
      </c>
      <c r="G6" t="s">
        <v>77</v>
      </c>
      <c r="H6" t="s">
        <v>91</v>
      </c>
      <c r="I6" t="s">
        <v>184</v>
      </c>
      <c r="J6" t="s">
        <v>185</v>
      </c>
      <c r="K6" t="s">
        <v>188</v>
      </c>
      <c r="L6" t="s">
        <v>189</v>
      </c>
      <c r="M6" t="s">
        <v>191</v>
      </c>
      <c r="N6" t="s">
        <v>196</v>
      </c>
      <c r="O6" t="s">
        <v>198</v>
      </c>
      <c r="P6" t="s">
        <v>290</v>
      </c>
      <c r="Q6" t="s">
        <v>292</v>
      </c>
      <c r="R6" t="s">
        <v>303</v>
      </c>
      <c r="S6" t="s">
        <v>307</v>
      </c>
      <c r="T6" t="s">
        <v>312</v>
      </c>
      <c r="U6" t="s">
        <v>321</v>
      </c>
      <c r="V6" t="s">
        <v>323</v>
      </c>
      <c r="W6" t="s">
        <v>325</v>
      </c>
      <c r="X6" t="s">
        <v>330</v>
      </c>
      <c r="Y6" t="s">
        <v>336</v>
      </c>
      <c r="Z6" t="s">
        <v>349</v>
      </c>
    </row>
    <row r="7" spans="1:26" x14ac:dyDescent="0.25">
      <c r="A7" t="s">
        <v>295</v>
      </c>
      <c r="B7">
        <v>2680.2006362470902</v>
      </c>
      <c r="C7">
        <v>2618.1251149773002</v>
      </c>
      <c r="D7">
        <v>2675.0682575040701</v>
      </c>
      <c r="E7">
        <v>2835.1953438395599</v>
      </c>
      <c r="F7">
        <v>3033.53</v>
      </c>
      <c r="G7">
        <v>2955.5390075243699</v>
      </c>
      <c r="H7">
        <v>3036.1627113352502</v>
      </c>
      <c r="I7">
        <v>3309.1667634098999</v>
      </c>
      <c r="J7">
        <v>3355.0968676818702</v>
      </c>
      <c r="K7">
        <v>3447.0388456641372</v>
      </c>
      <c r="L7">
        <v>3555.3838520188551</v>
      </c>
      <c r="M7">
        <v>3665.5459961449478</v>
      </c>
      <c r="N7">
        <v>3746.2027885540001</v>
      </c>
      <c r="O7">
        <v>3946</v>
      </c>
      <c r="P7">
        <v>4476.8789182960081</v>
      </c>
      <c r="Q7">
        <v>5151.3044</v>
      </c>
      <c r="R7">
        <v>4873.3894975816002</v>
      </c>
      <c r="S7">
        <v>5105.0503193076893</v>
      </c>
      <c r="T7">
        <v>5546.1346822855103</v>
      </c>
      <c r="U7">
        <v>5793.1966194471497</v>
      </c>
      <c r="V7">
        <v>6164.8337013250202</v>
      </c>
      <c r="W7">
        <v>6884.8464859599098</v>
      </c>
      <c r="X7" s="9">
        <v>7617.4546422723197</v>
      </c>
      <c r="Y7" s="141">
        <v>7957.6194884578799</v>
      </c>
      <c r="Z7" s="72">
        <v>7614.226766623503</v>
      </c>
    </row>
    <row r="8" spans="1:26" x14ac:dyDescent="0.25">
      <c r="A8" t="s">
        <v>296</v>
      </c>
      <c r="B8">
        <v>3.2</v>
      </c>
      <c r="C8">
        <v>3.1</v>
      </c>
      <c r="D8">
        <v>3.2328516557078615</v>
      </c>
      <c r="E8">
        <v>3.3013240126089984</v>
      </c>
      <c r="F8">
        <v>3.5217203958421122</v>
      </c>
      <c r="G8">
        <v>3.3</v>
      </c>
      <c r="H8">
        <v>3.4</v>
      </c>
      <c r="I8">
        <v>3.6</v>
      </c>
      <c r="J8">
        <v>3.62</v>
      </c>
      <c r="K8">
        <v>3.57</v>
      </c>
      <c r="L8">
        <v>3.5697813288908051</v>
      </c>
      <c r="M8">
        <v>3.5372648202337813</v>
      </c>
      <c r="N8">
        <v>3.5</v>
      </c>
      <c r="O8">
        <v>3.7</v>
      </c>
      <c r="P8">
        <v>4.0999999999999996</v>
      </c>
      <c r="Q8">
        <v>4.7</v>
      </c>
      <c r="R8">
        <v>4.4000000000000004</v>
      </c>
      <c r="S8">
        <v>4.8</v>
      </c>
      <c r="T8">
        <v>5.2</v>
      </c>
      <c r="U8">
        <v>5.4</v>
      </c>
      <c r="V8" s="9">
        <v>5.7709725007739996</v>
      </c>
      <c r="W8" s="9">
        <v>5.9263842382160004</v>
      </c>
      <c r="X8" s="9">
        <v>6.2181652766873725</v>
      </c>
      <c r="Y8" s="9">
        <v>6.1</v>
      </c>
    </row>
    <row r="13" spans="1:26" x14ac:dyDescent="0.25">
      <c r="X13" s="9"/>
      <c r="Y13" s="9"/>
    </row>
    <row r="14" spans="1:26" x14ac:dyDescent="0.25">
      <c r="O14" s="3"/>
      <c r="P14" s="3"/>
      <c r="R14" s="137"/>
      <c r="S14" s="137"/>
      <c r="T14" s="137"/>
      <c r="U14" s="137"/>
      <c r="V14" s="137"/>
    </row>
    <row r="16" spans="1:26" x14ac:dyDescent="0.25">
      <c r="U16" s="137"/>
      <c r="V16" s="137"/>
    </row>
    <row r="18" spans="2:24" x14ac:dyDescent="0.25">
      <c r="W18" s="134"/>
      <c r="X18" s="134"/>
    </row>
    <row r="22" spans="2:24" x14ac:dyDescent="0.25">
      <c r="W22" s="136"/>
      <c r="X22" s="136"/>
    </row>
    <row r="25" spans="2:24" x14ac:dyDescent="0.25">
      <c r="B25" s="4"/>
      <c r="C25" s="4"/>
      <c r="D25" s="4"/>
      <c r="E25" s="4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opLeftCell="I1" zoomScale="115" zoomScaleNormal="115" workbookViewId="0">
      <selection activeCell="AA13" sqref="AA13"/>
    </sheetView>
  </sheetViews>
  <sheetFormatPr defaultRowHeight="15" x14ac:dyDescent="0.25"/>
  <cols>
    <col min="1" max="1" width="26.140625" customWidth="1"/>
    <col min="2" max="8" width="11.5703125" hidden="1" customWidth="1"/>
    <col min="9" max="9" width="11.7109375" bestFit="1" customWidth="1"/>
    <col min="10" max="10" width="10.28515625" bestFit="1" customWidth="1"/>
    <col min="11" max="12" width="11.7109375" bestFit="1" customWidth="1"/>
    <col min="13" max="14" width="12.28515625" customWidth="1"/>
    <col min="15" max="15" width="11.5703125" customWidth="1"/>
    <col min="16" max="17" width="13.5703125" bestFit="1" customWidth="1"/>
    <col min="18" max="18" width="12.140625" customWidth="1"/>
    <col min="19" max="22" width="9.28515625" bestFit="1" customWidth="1"/>
  </cols>
  <sheetData>
    <row r="1" spans="1:27" x14ac:dyDescent="0.25">
      <c r="A1" t="s">
        <v>347</v>
      </c>
    </row>
    <row r="2" spans="1:27" x14ac:dyDescent="0.25">
      <c r="A2" t="s">
        <v>87</v>
      </c>
    </row>
    <row r="3" spans="1:27" x14ac:dyDescent="0.25">
      <c r="A3" t="s">
        <v>305</v>
      </c>
    </row>
    <row r="4" spans="1:27" x14ac:dyDescent="0.25">
      <c r="A4" t="s">
        <v>306</v>
      </c>
    </row>
    <row r="6" spans="1:27" x14ac:dyDescent="0.25">
      <c r="B6" t="s">
        <v>34</v>
      </c>
      <c r="C6" t="s">
        <v>35</v>
      </c>
      <c r="D6" t="s">
        <v>36</v>
      </c>
      <c r="E6" t="s">
        <v>37</v>
      </c>
      <c r="F6" t="s">
        <v>43</v>
      </c>
      <c r="G6" t="s">
        <v>61</v>
      </c>
      <c r="H6" t="s">
        <v>69</v>
      </c>
      <c r="I6" t="s">
        <v>77</v>
      </c>
      <c r="J6" t="s">
        <v>91</v>
      </c>
      <c r="K6" t="s">
        <v>184</v>
      </c>
      <c r="L6" t="s">
        <v>185</v>
      </c>
      <c r="M6" t="s">
        <v>188</v>
      </c>
      <c r="N6" t="s">
        <v>189</v>
      </c>
      <c r="O6" t="s">
        <v>191</v>
      </c>
      <c r="P6" t="s">
        <v>196</v>
      </c>
      <c r="Q6" t="s">
        <v>198</v>
      </c>
      <c r="R6" t="s">
        <v>290</v>
      </c>
      <c r="S6" t="s">
        <v>292</v>
      </c>
      <c r="T6" t="s">
        <v>307</v>
      </c>
      <c r="U6" t="s">
        <v>312</v>
      </c>
      <c r="V6" t="s">
        <v>321</v>
      </c>
      <c r="W6" t="s">
        <v>323</v>
      </c>
      <c r="X6" t="s">
        <v>325</v>
      </c>
      <c r="Y6" t="s">
        <v>330</v>
      </c>
      <c r="Z6" t="s">
        <v>336</v>
      </c>
      <c r="AA6" t="s">
        <v>345</v>
      </c>
    </row>
    <row r="7" spans="1:27" x14ac:dyDescent="0.25">
      <c r="A7" t="s">
        <v>333</v>
      </c>
      <c r="B7">
        <v>46.634611885169996</v>
      </c>
      <c r="C7">
        <v>29.373902453830013</v>
      </c>
      <c r="D7">
        <v>33.340433650000001</v>
      </c>
      <c r="E7">
        <v>-25.973947215020033</v>
      </c>
      <c r="F7">
        <v>57.626815649489998</v>
      </c>
      <c r="G7">
        <v>75.367507540369985</v>
      </c>
      <c r="H7">
        <v>102.99228324466999</v>
      </c>
      <c r="I7" s="9">
        <v>-19.339361374420001</v>
      </c>
      <c r="J7" s="9">
        <v>41.473512418120002</v>
      </c>
      <c r="K7" s="9">
        <v>237.82060366112998</v>
      </c>
      <c r="L7" s="9">
        <v>48.079628054810001</v>
      </c>
      <c r="M7" s="9">
        <v>49.004248349489991</v>
      </c>
      <c r="N7" s="9">
        <v>2.2257212645899962</v>
      </c>
      <c r="O7" s="9">
        <v>43.068599893450013</v>
      </c>
      <c r="P7" s="9">
        <v>71.897467919269999</v>
      </c>
      <c r="Q7" s="9">
        <v>58.206844306780013</v>
      </c>
      <c r="R7" s="9">
        <v>244.76190949094999</v>
      </c>
      <c r="S7" s="9">
        <v>148.373501650196</v>
      </c>
      <c r="T7" s="9">
        <v>42.3</v>
      </c>
      <c r="U7" s="9">
        <v>108.27727017927999</v>
      </c>
      <c r="V7" s="9">
        <v>98.316782544958997</v>
      </c>
      <c r="W7" s="72">
        <v>172.87588823968301</v>
      </c>
      <c r="X7" s="72">
        <v>90.875663542016994</v>
      </c>
      <c r="Y7" s="72">
        <v>104.736886357687</v>
      </c>
      <c r="Z7" s="72">
        <v>263</v>
      </c>
      <c r="AA7" s="72">
        <v>380</v>
      </c>
    </row>
    <row r="8" spans="1:27" x14ac:dyDescent="0.25">
      <c r="A8" t="s">
        <v>24</v>
      </c>
      <c r="B8">
        <v>57.065716162239994</v>
      </c>
      <c r="C8">
        <v>40.682955882570013</v>
      </c>
      <c r="D8">
        <v>66.956310639999998</v>
      </c>
      <c r="E8">
        <v>40.100158361910005</v>
      </c>
      <c r="F8">
        <v>69.043098603839994</v>
      </c>
      <c r="G8">
        <v>121.93663209098003</v>
      </c>
      <c r="H8">
        <v>113.9709002049</v>
      </c>
      <c r="I8" s="9">
        <v>30.288742969120001</v>
      </c>
      <c r="J8" s="9">
        <v>49.686456963049999</v>
      </c>
      <c r="K8" s="9">
        <v>245.98797150562001</v>
      </c>
      <c r="L8" s="9">
        <v>70.056450030199997</v>
      </c>
      <c r="M8" s="9">
        <v>58.192776489899991</v>
      </c>
      <c r="N8" s="9">
        <v>18.991603916779997</v>
      </c>
      <c r="O8" s="9">
        <v>75.015964892260016</v>
      </c>
      <c r="P8" s="9">
        <v>88.520644072620001</v>
      </c>
      <c r="Q8" s="9">
        <v>68.212460041000014</v>
      </c>
      <c r="R8" s="9">
        <v>259.86098708338</v>
      </c>
      <c r="S8" s="9">
        <v>177.39722636759601</v>
      </c>
      <c r="T8" s="9">
        <v>62.1</v>
      </c>
      <c r="U8" s="9">
        <v>127.60695159396001</v>
      </c>
      <c r="V8" s="9">
        <v>139.44174387152901</v>
      </c>
      <c r="W8" s="72">
        <v>186.93206050070299</v>
      </c>
      <c r="X8" s="72">
        <v>105.752711983187</v>
      </c>
      <c r="Y8" s="72">
        <v>148.81648154628701</v>
      </c>
      <c r="Z8" s="72">
        <v>291</v>
      </c>
      <c r="AA8" s="72">
        <v>415</v>
      </c>
    </row>
    <row r="9" spans="1:27" x14ac:dyDescent="0.25">
      <c r="A9" t="s">
        <v>25</v>
      </c>
      <c r="B9">
        <v>10.43110427707</v>
      </c>
      <c r="C9">
        <v>11.30905342874</v>
      </c>
      <c r="D9">
        <v>33.615876989999997</v>
      </c>
      <c r="E9">
        <v>66.074105576930009</v>
      </c>
      <c r="F9">
        <v>11.416282954349995</v>
      </c>
      <c r="G9">
        <v>46.569124550610013</v>
      </c>
      <c r="H9">
        <v>10.978616960229999</v>
      </c>
      <c r="I9" s="9">
        <v>49.628104343540002</v>
      </c>
      <c r="J9" s="9">
        <v>8.21294454493</v>
      </c>
      <c r="K9" s="9">
        <v>8.167367844490002</v>
      </c>
      <c r="L9" s="9">
        <v>21.976821975389999</v>
      </c>
      <c r="M9" s="9">
        <v>9.1885281404099999</v>
      </c>
      <c r="N9" s="9">
        <v>16.765882652190001</v>
      </c>
      <c r="O9" s="9">
        <v>31.947364998809999</v>
      </c>
      <c r="P9" s="9">
        <v>16.623176153350002</v>
      </c>
      <c r="Q9" s="9">
        <v>10.005615734220001</v>
      </c>
      <c r="R9" s="9">
        <v>15.099077592429998</v>
      </c>
      <c r="S9" s="9">
        <v>29.0237247174</v>
      </c>
      <c r="T9" s="9">
        <v>19.8</v>
      </c>
      <c r="U9" s="9">
        <v>19.32968141468</v>
      </c>
      <c r="V9" s="9">
        <v>41.124961326570002</v>
      </c>
      <c r="W9" s="72">
        <v>14.05617226102</v>
      </c>
      <c r="X9" s="72">
        <v>14.87704844117</v>
      </c>
      <c r="Y9" s="72">
        <v>44.079595188600003</v>
      </c>
      <c r="Z9" s="72">
        <v>28</v>
      </c>
      <c r="AA9" s="72">
        <v>35</v>
      </c>
    </row>
    <row r="10" spans="1:27" ht="20.25" hidden="1" customHeight="1" x14ac:dyDescent="0.25">
      <c r="A10" t="s">
        <v>22</v>
      </c>
      <c r="B10" t="e">
        <f>B11-B12</f>
        <v>#REF!</v>
      </c>
      <c r="C10" t="e">
        <f t="shared" ref="C10:G10" si="0">C11-C12</f>
        <v>#REF!</v>
      </c>
      <c r="D10" t="e">
        <f>D11-D12</f>
        <v>#REF!</v>
      </c>
      <c r="E10" t="e">
        <f t="shared" si="0"/>
        <v>#REF!</v>
      </c>
      <c r="F10" t="e">
        <f t="shared" si="0"/>
        <v>#REF!</v>
      </c>
      <c r="G10" t="e">
        <f t="shared" si="0"/>
        <v>#REF!</v>
      </c>
      <c r="H10">
        <v>114.46714037561</v>
      </c>
      <c r="I10" s="9">
        <v>4.9536714980000007E-2</v>
      </c>
      <c r="J10" s="9">
        <v>61.76836990788</v>
      </c>
      <c r="K10" s="9">
        <v>198.61789911532998</v>
      </c>
      <c r="L10" s="9"/>
      <c r="M10" s="9"/>
      <c r="N10" s="9"/>
      <c r="O10" s="9"/>
      <c r="P10" s="9">
        <v>2.6517320537511244</v>
      </c>
      <c r="Q10" s="9">
        <v>2.3068829396173003</v>
      </c>
      <c r="R10" s="9"/>
      <c r="S10" s="9"/>
      <c r="T10" s="9"/>
      <c r="U10" s="9"/>
      <c r="V10" s="9"/>
    </row>
    <row r="11" spans="1:27" hidden="1" x14ac:dyDescent="0.25">
      <c r="A11" t="s">
        <v>67</v>
      </c>
      <c r="B11" t="e">
        <f>B8+#REF!+#REF!</f>
        <v>#REF!</v>
      </c>
      <c r="C11" t="e">
        <f>C8+#REF!+#REF!</f>
        <v>#REF!</v>
      </c>
      <c r="D11" t="e">
        <f>D8+#REF!+#REF!</f>
        <v>#REF!</v>
      </c>
      <c r="E11" t="e">
        <f>E8+#REF!+#REF!</f>
        <v>#REF!</v>
      </c>
      <c r="F11" t="e">
        <f>F8+#REF!+#REF!</f>
        <v>#REF!</v>
      </c>
      <c r="G11" t="e">
        <f>G8+#REF!+#REF!</f>
        <v>#REF!</v>
      </c>
      <c r="H11" t="e">
        <f>H8+#REF!+#REF!</f>
        <v>#REF!</v>
      </c>
      <c r="I11" s="9" t="e">
        <f>I8+#REF!+#REF!</f>
        <v>#REF!</v>
      </c>
      <c r="J11" s="9" t="e">
        <f>J8+#REF!+#REF!</f>
        <v>#REF!</v>
      </c>
      <c r="K11" s="9">
        <v>283.10141679332997</v>
      </c>
      <c r="L11" s="9"/>
      <c r="M11" s="9"/>
      <c r="N11" s="9"/>
      <c r="O11" s="9"/>
      <c r="P11" s="9">
        <v>2.6517320537511244</v>
      </c>
      <c r="Q11" s="9">
        <v>2.3072072028673003</v>
      </c>
      <c r="R11" s="9"/>
      <c r="S11" s="9"/>
      <c r="T11" s="9"/>
      <c r="U11" s="9"/>
      <c r="V11" s="9"/>
    </row>
    <row r="12" spans="1:27" hidden="1" x14ac:dyDescent="0.25">
      <c r="A12" t="s">
        <v>68</v>
      </c>
      <c r="B12" t="e">
        <f>B9+#REF!+#REF!</f>
        <v>#REF!</v>
      </c>
      <c r="C12" t="e">
        <f>C9+#REF!+#REF!</f>
        <v>#REF!</v>
      </c>
      <c r="D12" t="e">
        <f>D9+#REF!+#REF!</f>
        <v>#REF!</v>
      </c>
      <c r="E12" t="e">
        <f>E9+#REF!+#REF!</f>
        <v>#REF!</v>
      </c>
      <c r="F12" t="e">
        <f>F9+#REF!+#REF!</f>
        <v>#REF!</v>
      </c>
      <c r="G12" t="e">
        <f>G9+#REF!+#REF!</f>
        <v>#REF!</v>
      </c>
      <c r="H12" t="e">
        <f>H9+#REF!+#REF!</f>
        <v>#REF!</v>
      </c>
      <c r="I12" s="9" t="e">
        <f>I9+#REF!+#REF!</f>
        <v>#REF!</v>
      </c>
      <c r="J12" s="9" t="e">
        <f>J9+#REF!+#REF!</f>
        <v>#REF!</v>
      </c>
      <c r="K12" s="9">
        <v>22.715147770120005</v>
      </c>
      <c r="L12" s="9"/>
      <c r="M12" s="9"/>
      <c r="N12" s="9"/>
      <c r="O12" s="9"/>
      <c r="P12" s="9">
        <v>0</v>
      </c>
      <c r="Q12" s="9">
        <v>3.2426325000000001E-4</v>
      </c>
      <c r="R12" s="9"/>
      <c r="S12" s="9"/>
      <c r="T12" s="9"/>
      <c r="U12" s="9"/>
      <c r="V12" s="9"/>
    </row>
    <row r="13" spans="1:27" x14ac:dyDescent="0.25">
      <c r="A13" t="s">
        <v>193</v>
      </c>
      <c r="C13" t="e">
        <f>(#REF!-#REF!)/1000</f>
        <v>#REF!</v>
      </c>
      <c r="D13" t="e">
        <f>(#REF!-#REF!)/1000</f>
        <v>#REF!</v>
      </c>
      <c r="E13" t="e">
        <f>(#REF!-#REF!)/1000</f>
        <v>#REF!</v>
      </c>
      <c r="F13" t="e">
        <f>(#REF!-#REF!)/1000</f>
        <v>#REF!</v>
      </c>
      <c r="G13" t="e">
        <f>(#REF!-#REF!)/1000</f>
        <v>#REF!</v>
      </c>
      <c r="H13" t="e">
        <f>(#REF!-#REF!)/1000</f>
        <v>#REF!</v>
      </c>
      <c r="I13" s="9">
        <v>-97.716695585190777</v>
      </c>
      <c r="J13" s="9">
        <v>31.990900511479936</v>
      </c>
      <c r="K13" s="9">
        <v>195.17042407756114</v>
      </c>
      <c r="L13" s="9">
        <v>35.833995912020093</v>
      </c>
      <c r="M13" s="9">
        <v>43.774161335799377</v>
      </c>
      <c r="N13" s="9">
        <v>64.242705405029469</v>
      </c>
      <c r="O13" s="9">
        <v>151.73105181370116</v>
      </c>
      <c r="P13" s="9">
        <v>124.00566454239004</v>
      </c>
      <c r="Q13" s="9">
        <v>112.61169966297922</v>
      </c>
      <c r="R13" s="9">
        <v>278.84124366600952</v>
      </c>
      <c r="S13" s="9">
        <v>440.59450139828073</v>
      </c>
      <c r="T13" s="9">
        <v>141.80000000000001</v>
      </c>
      <c r="U13" s="9">
        <v>324.91945075206002</v>
      </c>
      <c r="V13" s="9">
        <v>110.31672957572</v>
      </c>
      <c r="W13" s="72">
        <v>312.51823392322001</v>
      </c>
      <c r="X13" s="72">
        <v>563.3508563185502</v>
      </c>
      <c r="Y13" s="72">
        <v>652.92137475170944</v>
      </c>
      <c r="Z13" s="72">
        <v>151</v>
      </c>
    </row>
    <row r="14" spans="1:27" hidden="1" x14ac:dyDescent="0.25">
      <c r="A14" t="s">
        <v>52</v>
      </c>
      <c r="B14">
        <f>(B15-A15)/1000</f>
        <v>5.2448751697199913</v>
      </c>
      <c r="C14">
        <f t="shared" ref="C14:F14" si="1">(C15-B15)/1000</f>
        <v>14.191753775240009</v>
      </c>
      <c r="D14">
        <f>(D15-C15)/1000</f>
        <v>0.98842211753000442</v>
      </c>
      <c r="E14">
        <f t="shared" si="1"/>
        <v>3.5274475479199756</v>
      </c>
      <c r="F14">
        <f t="shared" si="1"/>
        <v>8.0032417133700218</v>
      </c>
      <c r="G14">
        <f>(G15-F15)/1000</f>
        <v>8.1614274917300786</v>
      </c>
      <c r="H14">
        <f>(H15-G15)/1000</f>
        <v>10.266849462549915</v>
      </c>
      <c r="I14">
        <f>(I15-H15)/1000</f>
        <v>21.728674157009984</v>
      </c>
    </row>
    <row r="15" spans="1:27" hidden="1" x14ac:dyDescent="0.25">
      <c r="A15">
        <v>90688.039331070002</v>
      </c>
      <c r="B15">
        <v>95932.914500789993</v>
      </c>
      <c r="C15">
        <v>110124.66827603</v>
      </c>
      <c r="D15">
        <v>111113.09039356001</v>
      </c>
      <c r="E15">
        <v>114640.53794147998</v>
      </c>
      <c r="F15">
        <v>122643.77965485</v>
      </c>
      <c r="G15">
        <v>130805.20714658008</v>
      </c>
      <c r="H15">
        <v>141072.05660913</v>
      </c>
      <c r="I15">
        <v>162800.73076613998</v>
      </c>
    </row>
    <row r="16" spans="1:27" hidden="1" x14ac:dyDescent="0.25">
      <c r="A16" t="s">
        <v>53</v>
      </c>
      <c r="B16">
        <f>(B17-A17)/1000</f>
        <v>0.31539491357000227</v>
      </c>
      <c r="C16">
        <f t="shared" ref="C16:I16" si="2">(C17-B17)/1000</f>
        <v>3.6571117842099992</v>
      </c>
      <c r="D16">
        <f>(D17-C17)/1000</f>
        <v>-2.4302948763500027</v>
      </c>
      <c r="E16">
        <f t="shared" si="2"/>
        <v>-1.9477005140899963</v>
      </c>
      <c r="F16">
        <f>(F17-E17)/1000</f>
        <v>0.12092151648999788</v>
      </c>
      <c r="G16">
        <f t="shared" si="2"/>
        <v>-0.69075183311999722</v>
      </c>
      <c r="H16">
        <f t="shared" si="2"/>
        <v>0.42924285769999915</v>
      </c>
      <c r="I16">
        <f t="shared" si="2"/>
        <v>1.0427241605399939</v>
      </c>
    </row>
    <row r="17" spans="1:11" hidden="1" x14ac:dyDescent="0.25">
      <c r="A17">
        <v>19123.866557429999</v>
      </c>
      <c r="B17">
        <v>19439.261471000002</v>
      </c>
      <c r="C17">
        <v>23096.373255210001</v>
      </c>
      <c r="D17">
        <v>20666.078378859998</v>
      </c>
      <c r="E17">
        <v>18718.377864770002</v>
      </c>
      <c r="F17">
        <v>18839.29938126</v>
      </c>
      <c r="G17">
        <v>18148.547548140003</v>
      </c>
      <c r="H17">
        <v>18577.790405840002</v>
      </c>
      <c r="I17">
        <v>19620.514566379996</v>
      </c>
    </row>
    <row r="18" spans="1:11" hidden="1" x14ac:dyDescent="0.25"/>
    <row r="23" spans="1:11" x14ac:dyDescent="0.25">
      <c r="G23" s="4" t="e">
        <f>#REF!+#REF!+#REF!+#REF!</f>
        <v>#REF!</v>
      </c>
      <c r="K23" s="9"/>
    </row>
    <row r="26" spans="1:11" x14ac:dyDescent="0.25">
      <c r="B26" s="9"/>
      <c r="C26" s="9"/>
      <c r="D26" s="9"/>
      <c r="E26" s="9"/>
      <c r="F26" s="9"/>
      <c r="G26" s="9"/>
      <c r="H26" s="9"/>
      <c r="I26" s="9"/>
    </row>
    <row r="27" spans="1:11" x14ac:dyDescent="0.25">
      <c r="B27" s="9"/>
      <c r="C27" s="9"/>
      <c r="D27" s="9"/>
      <c r="E27" s="9"/>
      <c r="F27" s="9"/>
      <c r="G27" s="9"/>
      <c r="H27" s="9"/>
      <c r="I27" s="9"/>
    </row>
    <row r="28" spans="1:11" x14ac:dyDescent="0.25">
      <c r="B28" s="9"/>
      <c r="C28" s="9"/>
      <c r="D28" s="9"/>
      <c r="E28" s="9"/>
      <c r="F28" s="9"/>
      <c r="G28" s="9"/>
      <c r="H28" s="9"/>
      <c r="I28" s="9"/>
    </row>
    <row r="29" spans="1:11" x14ac:dyDescent="0.25">
      <c r="B29" s="9"/>
      <c r="C29" s="9"/>
      <c r="D29" s="9"/>
      <c r="E29" s="9"/>
      <c r="F29" s="9"/>
      <c r="G29" s="9"/>
      <c r="H29" s="9"/>
      <c r="I29" s="9"/>
    </row>
    <row r="30" spans="1:11" x14ac:dyDescent="0.25">
      <c r="B30" s="9"/>
      <c r="C30" s="9"/>
      <c r="D30" s="9"/>
      <c r="E30" s="9"/>
      <c r="F30" s="9"/>
      <c r="G30" s="9"/>
      <c r="H30" s="9"/>
      <c r="I30" s="9"/>
    </row>
    <row r="31" spans="1:11" x14ac:dyDescent="0.25">
      <c r="B31" s="9"/>
      <c r="C31" s="9"/>
      <c r="D31" s="9"/>
      <c r="E31" s="9"/>
      <c r="F31" s="9"/>
      <c r="G31" s="9"/>
      <c r="H31" s="9"/>
      <c r="I31" s="9"/>
    </row>
    <row r="32" spans="1:11" x14ac:dyDescent="0.25">
      <c r="B32" s="9"/>
      <c r="C32" s="9"/>
      <c r="D32" s="9"/>
      <c r="E32" s="9"/>
      <c r="F32" s="9"/>
      <c r="G32" s="9"/>
      <c r="H32" s="9"/>
      <c r="I32" s="9"/>
    </row>
    <row r="33" spans="2:9" x14ac:dyDescent="0.25">
      <c r="B33" s="9"/>
      <c r="C33" s="9"/>
      <c r="D33" s="9"/>
      <c r="E33" s="9"/>
      <c r="F33" s="9"/>
      <c r="G33" s="9"/>
      <c r="H33" s="9"/>
      <c r="I33" s="9"/>
    </row>
    <row r="34" spans="2:9" x14ac:dyDescent="0.25">
      <c r="B34" s="9"/>
      <c r="C34" s="9"/>
      <c r="D34" s="9"/>
      <c r="E34" s="9"/>
      <c r="F34" s="9"/>
      <c r="G34" s="9"/>
      <c r="H34" s="9"/>
      <c r="I34" s="9"/>
    </row>
    <row r="35" spans="2:9" x14ac:dyDescent="0.25">
      <c r="B35" s="9"/>
      <c r="C35" s="9"/>
      <c r="D35" s="9"/>
      <c r="E35" s="9"/>
      <c r="F35" s="9"/>
      <c r="G35" s="9"/>
      <c r="H35" s="9"/>
      <c r="I35" s="9"/>
    </row>
    <row r="36" spans="2:9" x14ac:dyDescent="0.25">
      <c r="B36" s="9"/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zoomScaleNormal="100" workbookViewId="0">
      <selection activeCell="Y9" sqref="Y9"/>
    </sheetView>
  </sheetViews>
  <sheetFormatPr defaultRowHeight="15" x14ac:dyDescent="0.25"/>
  <cols>
    <col min="1" max="1" width="26.140625" customWidth="1"/>
    <col min="6" max="6" width="4.5703125" customWidth="1"/>
    <col min="7" max="7" width="15.28515625" customWidth="1"/>
    <col min="8" max="8" width="11.140625" bestFit="1" customWidth="1"/>
    <col min="9" max="9" width="11.140625" customWidth="1"/>
    <col min="15" max="15" width="10.140625" customWidth="1"/>
  </cols>
  <sheetData>
    <row r="1" spans="1:25" x14ac:dyDescent="0.25">
      <c r="A1" t="s">
        <v>300</v>
      </c>
    </row>
    <row r="2" spans="1:25" x14ac:dyDescent="0.25">
      <c r="A2" t="s">
        <v>90</v>
      </c>
    </row>
    <row r="3" spans="1:25" x14ac:dyDescent="0.25">
      <c r="A3" t="s">
        <v>305</v>
      </c>
    </row>
    <row r="4" spans="1:25" x14ac:dyDescent="0.25">
      <c r="A4" t="s">
        <v>306</v>
      </c>
    </row>
    <row r="5" spans="1:25" x14ac:dyDescent="0.25">
      <c r="B5" t="s">
        <v>36</v>
      </c>
      <c r="C5" t="s">
        <v>37</v>
      </c>
      <c r="D5" t="s">
        <v>43</v>
      </c>
      <c r="E5" t="s">
        <v>61</v>
      </c>
      <c r="F5" t="s">
        <v>69</v>
      </c>
      <c r="G5" t="s">
        <v>77</v>
      </c>
      <c r="H5" t="s">
        <v>91</v>
      </c>
      <c r="I5" t="s">
        <v>184</v>
      </c>
      <c r="J5" t="s">
        <v>185</v>
      </c>
      <c r="K5" t="s">
        <v>188</v>
      </c>
      <c r="L5" t="s">
        <v>189</v>
      </c>
      <c r="M5" t="s">
        <v>191</v>
      </c>
      <c r="N5" t="s">
        <v>196</v>
      </c>
      <c r="O5" t="s">
        <v>198</v>
      </c>
      <c r="P5" t="s">
        <v>290</v>
      </c>
      <c r="Q5" t="s">
        <v>292</v>
      </c>
      <c r="R5" t="s">
        <v>307</v>
      </c>
      <c r="S5" t="s">
        <v>312</v>
      </c>
      <c r="T5" t="s">
        <v>321</v>
      </c>
      <c r="U5" t="s">
        <v>323</v>
      </c>
      <c r="V5" t="s">
        <v>325</v>
      </c>
      <c r="W5" t="s">
        <v>330</v>
      </c>
      <c r="X5" t="s">
        <v>336</v>
      </c>
      <c r="Y5" t="s">
        <v>345</v>
      </c>
    </row>
    <row r="6" spans="1:25" x14ac:dyDescent="0.25">
      <c r="A6" t="s">
        <v>332</v>
      </c>
      <c r="B6" s="9">
        <v>-3.056616113</v>
      </c>
      <c r="C6" s="9">
        <v>-0.2</v>
      </c>
      <c r="D6" s="9">
        <v>-0.20922751863999967</v>
      </c>
      <c r="E6" s="9">
        <v>-1.2327410903200007</v>
      </c>
      <c r="F6" s="9">
        <v>4.630830419999999E-2</v>
      </c>
      <c r="G6" s="9">
        <v>0.87938478684999988</v>
      </c>
      <c r="H6" s="9">
        <v>-4.6050901409999997E-2</v>
      </c>
      <c r="I6" s="9">
        <v>0.27496622512999991</v>
      </c>
      <c r="J6" s="9">
        <v>1.5757083574400002</v>
      </c>
      <c r="K6" s="9">
        <v>2.8100939680199994</v>
      </c>
      <c r="L6" s="9">
        <v>1.6487807066799998</v>
      </c>
      <c r="M6" s="9">
        <v>2.5168578474240255</v>
      </c>
      <c r="N6" s="9">
        <v>14.4704299385205</v>
      </c>
      <c r="O6" s="9">
        <v>3.4698531628442244</v>
      </c>
      <c r="P6" s="9">
        <v>0.63588089904067502</v>
      </c>
      <c r="Q6" s="9">
        <v>1.324509235894</v>
      </c>
      <c r="R6" s="9">
        <v>1.1000000000000001</v>
      </c>
      <c r="S6" s="9">
        <v>2.4271608309810002</v>
      </c>
      <c r="T6" s="9">
        <v>6.1913783694999998</v>
      </c>
      <c r="U6" s="9">
        <v>7.3496252429510003</v>
      </c>
      <c r="V6" s="9">
        <v>21.900955292086</v>
      </c>
      <c r="W6" s="9">
        <v>-1.6403560644499999</v>
      </c>
      <c r="X6" s="9">
        <v>5.0999999999999996</v>
      </c>
      <c r="Y6" s="9">
        <v>1.3</v>
      </c>
    </row>
    <row r="7" spans="1:25" x14ac:dyDescent="0.25">
      <c r="A7" t="s">
        <v>28</v>
      </c>
      <c r="B7" s="9">
        <v>0.118696317</v>
      </c>
      <c r="C7" s="9">
        <v>5.9265346840000011E-2</v>
      </c>
      <c r="D7" s="9">
        <v>3.5787458930000016E-2</v>
      </c>
      <c r="E7" s="9">
        <v>2.8139073999999986E-2</v>
      </c>
      <c r="F7" s="9">
        <v>0.11513857215999999</v>
      </c>
      <c r="G7" s="9">
        <v>1.0302650895599998</v>
      </c>
      <c r="H7" s="9">
        <v>2.7819702500000001E-2</v>
      </c>
      <c r="I7" s="9">
        <v>0.33876174780000001</v>
      </c>
      <c r="J7" s="9">
        <v>1.6112191124000002</v>
      </c>
      <c r="K7" s="9">
        <v>3.6185042562199996</v>
      </c>
      <c r="L7" s="9">
        <v>1.7719783505699997</v>
      </c>
      <c r="M7" s="9">
        <v>2.7404963844280754</v>
      </c>
      <c r="N7" s="9">
        <v>14.501336139820101</v>
      </c>
      <c r="O7" s="9">
        <v>3.8304832614463495</v>
      </c>
      <c r="P7" s="9">
        <v>0.806741876961375</v>
      </c>
      <c r="Q7" s="9">
        <v>1.9031012137079999</v>
      </c>
      <c r="R7" s="9">
        <v>2.8</v>
      </c>
      <c r="S7" s="9">
        <v>3.1633373004259999</v>
      </c>
      <c r="T7" s="9">
        <v>6.845296053937</v>
      </c>
      <c r="U7" s="9">
        <v>7.5498043714390004</v>
      </c>
      <c r="V7" s="9">
        <v>26.597180678794999</v>
      </c>
      <c r="W7" s="9">
        <v>9.3982081536859994</v>
      </c>
      <c r="X7" s="9">
        <v>8.1407454148423302</v>
      </c>
      <c r="Y7" s="9">
        <v>2.4</v>
      </c>
    </row>
    <row r="8" spans="1:25" x14ac:dyDescent="0.25">
      <c r="A8" t="s">
        <v>29</v>
      </c>
      <c r="B8" s="9">
        <v>3.17531243</v>
      </c>
      <c r="C8" s="9">
        <v>0.21666780615</v>
      </c>
      <c r="D8" s="9">
        <v>0.24501497756999946</v>
      </c>
      <c r="E8" s="9">
        <v>1.2608801643200005</v>
      </c>
      <c r="F8" s="9">
        <v>6.8830267959999997E-2</v>
      </c>
      <c r="G8" s="9">
        <v>0.15088030271</v>
      </c>
      <c r="H8" s="9">
        <v>7.3870603909999999E-2</v>
      </c>
      <c r="I8" s="9">
        <v>6.3795522669999993E-2</v>
      </c>
      <c r="J8" s="9">
        <v>3.5510754959999995E-2</v>
      </c>
      <c r="K8" s="9">
        <v>0.80841028820000005</v>
      </c>
      <c r="L8" s="9">
        <v>0.12319764388999999</v>
      </c>
      <c r="M8" s="9">
        <v>0.22363853700404998</v>
      </c>
      <c r="N8" s="9">
        <v>3.0906201299600006E-2</v>
      </c>
      <c r="O8" s="9">
        <v>0.36063009860212497</v>
      </c>
      <c r="P8" s="9">
        <v>0.17086097792070001</v>
      </c>
      <c r="Q8" s="9">
        <v>0.57859197781399996</v>
      </c>
      <c r="R8" s="9">
        <v>1.7</v>
      </c>
      <c r="S8" s="9">
        <v>0.73617646944399995</v>
      </c>
      <c r="T8" s="9">
        <v>0.65391768443700005</v>
      </c>
      <c r="U8" s="9">
        <v>0.20017912848800001</v>
      </c>
      <c r="V8" s="9">
        <v>4.696225386709</v>
      </c>
      <c r="W8" s="9">
        <v>11.038564218136999</v>
      </c>
      <c r="X8" s="9">
        <v>2.82196198637061</v>
      </c>
      <c r="Y8" s="9">
        <v>1.1000000000000001</v>
      </c>
    </row>
    <row r="9" spans="1:25" x14ac:dyDescent="0.25">
      <c r="A9" t="s">
        <v>195</v>
      </c>
      <c r="B9" s="9"/>
      <c r="C9" s="9">
        <v>-1.9477005140899963</v>
      </c>
      <c r="D9" s="9">
        <v>0.12092151648999788</v>
      </c>
      <c r="E9" s="9">
        <v>-0.69075183311999722</v>
      </c>
      <c r="F9" s="9">
        <v>0.42924285769999915</v>
      </c>
      <c r="G9" s="9">
        <v>1.0427241605399939</v>
      </c>
      <c r="H9" s="9">
        <v>0.44768891647000419</v>
      </c>
      <c r="I9" s="9">
        <v>0.18604293105000033</v>
      </c>
      <c r="J9" s="9">
        <v>1.9925698163600027</v>
      </c>
      <c r="K9" s="9">
        <v>2.9647832152799927</v>
      </c>
      <c r="L9" s="9">
        <v>4.2435108381985014</v>
      </c>
      <c r="M9" s="9">
        <v>1.7794508669709794</v>
      </c>
      <c r="N9" s="9">
        <v>14.199483211432144</v>
      </c>
      <c r="O9" s="9">
        <v>3.4350299339244592</v>
      </c>
      <c r="P9" s="9">
        <v>0.7429487508735183</v>
      </c>
      <c r="Q9" s="9">
        <v>-0.64257699656239853</v>
      </c>
      <c r="R9" s="9">
        <v>1.9</v>
      </c>
      <c r="S9" s="9">
        <v>5.8136313169092002</v>
      </c>
      <c r="T9" s="9">
        <v>6.1273624948748999</v>
      </c>
      <c r="U9" s="9">
        <v>8.0660907367486079</v>
      </c>
      <c r="V9" s="9">
        <v>19.275961677579208</v>
      </c>
      <c r="W9" s="9">
        <v>-0.69360639695030113</v>
      </c>
      <c r="X9" s="9">
        <v>5.5808819096357034</v>
      </c>
    </row>
    <row r="17" spans="2:9" x14ac:dyDescent="0.25">
      <c r="B17" s="9"/>
      <c r="C17" s="9"/>
      <c r="D17" s="9"/>
      <c r="E17" s="9"/>
      <c r="F17" s="9"/>
      <c r="G17" s="9"/>
    </row>
    <row r="18" spans="2:9" x14ac:dyDescent="0.25">
      <c r="B18" s="9"/>
      <c r="C18" s="9"/>
      <c r="D18" s="9"/>
      <c r="E18" s="9"/>
      <c r="F18" s="9"/>
      <c r="G18" s="9"/>
    </row>
    <row r="19" spans="2:9" x14ac:dyDescent="0.25">
      <c r="B19" s="9"/>
      <c r="C19" s="9"/>
      <c r="D19" s="9"/>
      <c r="E19" s="9"/>
      <c r="F19" s="9"/>
      <c r="G19" s="9"/>
    </row>
    <row r="20" spans="2:9" x14ac:dyDescent="0.25">
      <c r="B20" s="9"/>
      <c r="C20" s="9"/>
      <c r="D20" s="9"/>
      <c r="E20" s="9"/>
      <c r="F20" s="9"/>
      <c r="G20" s="9"/>
    </row>
    <row r="21" spans="2:9" x14ac:dyDescent="0.25">
      <c r="B21" s="9"/>
      <c r="C21" s="9"/>
      <c r="D21" s="9"/>
      <c r="E21" s="9"/>
      <c r="F21" s="9"/>
      <c r="G21" s="9"/>
    </row>
    <row r="22" spans="2:9" x14ac:dyDescent="0.25">
      <c r="B22" s="9"/>
      <c r="C22" s="9"/>
      <c r="D22" s="9"/>
      <c r="E22" s="9"/>
      <c r="F22" s="9"/>
      <c r="G22" s="9"/>
    </row>
    <row r="23" spans="2:9" x14ac:dyDescent="0.25">
      <c r="B23" s="9"/>
      <c r="C23" s="9"/>
      <c r="D23" s="9"/>
      <c r="E23" s="9"/>
      <c r="F23" s="9"/>
      <c r="G23" s="9"/>
    </row>
    <row r="24" spans="2:9" x14ac:dyDescent="0.25">
      <c r="B24" s="9"/>
      <c r="C24" s="9"/>
      <c r="D24" s="9"/>
      <c r="E24" s="9"/>
      <c r="F24" s="9"/>
      <c r="G24" s="9"/>
    </row>
    <row r="25" spans="2:9" x14ac:dyDescent="0.25">
      <c r="B25" s="9"/>
      <c r="C25" s="9"/>
      <c r="D25" s="9"/>
      <c r="E25" s="9"/>
      <c r="F25" s="9"/>
      <c r="G25" s="9"/>
    </row>
    <row r="26" spans="2:9" x14ac:dyDescent="0.25">
      <c r="B26" s="9"/>
      <c r="C26" s="9"/>
      <c r="D26" s="9"/>
      <c r="E26" s="9"/>
      <c r="F26" s="9"/>
      <c r="G26" s="9"/>
    </row>
    <row r="31" spans="2:9" x14ac:dyDescent="0.25">
      <c r="H31" s="124"/>
      <c r="I31" s="124"/>
    </row>
    <row r="32" spans="2:9" x14ac:dyDescent="0.25">
      <c r="H32" s="82"/>
      <c r="I32" s="82"/>
    </row>
    <row r="33" spans="8:9" x14ac:dyDescent="0.25">
      <c r="H33" s="82"/>
      <c r="I33" s="82"/>
    </row>
    <row r="34" spans="8:9" x14ac:dyDescent="0.25">
      <c r="H34" s="82"/>
      <c r="I34" s="82"/>
    </row>
    <row r="35" spans="8:9" x14ac:dyDescent="0.25">
      <c r="H35" s="82"/>
      <c r="I35" s="82"/>
    </row>
    <row r="36" spans="8:9" x14ac:dyDescent="0.25">
      <c r="H36" s="82"/>
      <c r="I36" s="82"/>
    </row>
    <row r="37" spans="8:9" x14ac:dyDescent="0.25">
      <c r="H37" s="82"/>
      <c r="I37" s="82"/>
    </row>
    <row r="38" spans="8:9" x14ac:dyDescent="0.25">
      <c r="H38" s="82"/>
      <c r="I38" s="82"/>
    </row>
    <row r="50" spans="4:5" x14ac:dyDescent="0.25">
      <c r="D50" s="82"/>
      <c r="E50" s="82"/>
    </row>
    <row r="51" spans="4:5" x14ac:dyDescent="0.25">
      <c r="D51" s="82"/>
      <c r="E51" s="82"/>
    </row>
    <row r="52" spans="4:5" x14ac:dyDescent="0.25">
      <c r="D52" s="82"/>
      <c r="E52" s="82"/>
    </row>
    <row r="53" spans="4:5" x14ac:dyDescent="0.25">
      <c r="D53" s="82"/>
      <c r="E53" s="82"/>
    </row>
    <row r="54" spans="4:5" x14ac:dyDescent="0.25">
      <c r="D54" s="82"/>
      <c r="E54" s="82"/>
    </row>
    <row r="56" spans="4:5" x14ac:dyDescent="0.25">
      <c r="D56" s="82"/>
      <c r="E56" s="82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4"/>
  <sheetViews>
    <sheetView tabSelected="1" workbookViewId="0">
      <selection activeCell="H13" sqref="H13"/>
    </sheetView>
  </sheetViews>
  <sheetFormatPr defaultRowHeight="15" x14ac:dyDescent="0.25"/>
  <cols>
    <col min="2" max="2" width="22.7109375" customWidth="1"/>
    <col min="3" max="4" width="10.140625" bestFit="1" customWidth="1"/>
    <col min="5" max="5" width="9.5703125" bestFit="1" customWidth="1"/>
    <col min="6" max="6" width="10.140625" bestFit="1" customWidth="1"/>
    <col min="8" max="8" width="9.5703125" bestFit="1" customWidth="1"/>
  </cols>
  <sheetData>
    <row r="1" spans="2:13" x14ac:dyDescent="0.25">
      <c r="B1" t="s">
        <v>301</v>
      </c>
    </row>
    <row r="2" spans="2:13" x14ac:dyDescent="0.25">
      <c r="B2" t="s">
        <v>320</v>
      </c>
    </row>
    <row r="3" spans="2:13" x14ac:dyDescent="0.25">
      <c r="B3" t="s">
        <v>280</v>
      </c>
    </row>
    <row r="4" spans="2:13" x14ac:dyDescent="0.25">
      <c r="B4" t="s">
        <v>306</v>
      </c>
      <c r="M4" s="82"/>
    </row>
    <row r="5" spans="2:13" x14ac:dyDescent="0.25">
      <c r="C5" s="72">
        <v>2019</v>
      </c>
      <c r="D5" s="72">
        <v>2020</v>
      </c>
      <c r="E5">
        <v>2021</v>
      </c>
      <c r="F5" s="146">
        <v>44742</v>
      </c>
      <c r="M5" s="82"/>
    </row>
    <row r="6" spans="2:13" x14ac:dyDescent="0.25">
      <c r="B6" t="s">
        <v>313</v>
      </c>
      <c r="C6" s="82">
        <v>0.48407643312101911</v>
      </c>
      <c r="D6" s="82">
        <v>0.42819148936170215</v>
      </c>
      <c r="E6" s="82">
        <v>0.23056537102473498</v>
      </c>
      <c r="F6" s="82">
        <v>0.30859375000000006</v>
      </c>
      <c r="H6" s="134"/>
      <c r="I6" s="133"/>
      <c r="M6" s="82"/>
    </row>
    <row r="7" spans="2:13" x14ac:dyDescent="0.25">
      <c r="B7" t="s">
        <v>314</v>
      </c>
      <c r="C7" s="82">
        <v>0.20382165605095542</v>
      </c>
      <c r="D7" s="82">
        <v>0.18882978723404256</v>
      </c>
      <c r="E7" s="82">
        <v>0.25265017667844525</v>
      </c>
      <c r="F7" s="82">
        <v>0.23567708333333337</v>
      </c>
      <c r="H7" s="134"/>
      <c r="I7" s="133"/>
      <c r="M7" s="82"/>
    </row>
    <row r="8" spans="2:13" x14ac:dyDescent="0.25">
      <c r="B8" t="s">
        <v>315</v>
      </c>
      <c r="C8" s="82">
        <v>0.13800424628450106</v>
      </c>
      <c r="D8" s="82">
        <v>0.11170212765957446</v>
      </c>
      <c r="E8" s="82">
        <v>0.20671378091872791</v>
      </c>
      <c r="F8" s="82">
        <v>0.20182291666666671</v>
      </c>
      <c r="H8" s="134"/>
      <c r="I8" s="133"/>
      <c r="M8" s="82"/>
    </row>
    <row r="9" spans="2:13" x14ac:dyDescent="0.25">
      <c r="B9" t="s">
        <v>317</v>
      </c>
      <c r="C9" s="82">
        <v>4.2462845010615709E-2</v>
      </c>
      <c r="D9" s="82">
        <v>7.7127659574468085E-2</v>
      </c>
      <c r="E9" s="82">
        <v>0.1166077738515901</v>
      </c>
      <c r="F9" s="82">
        <v>8.3333333333333343E-2</v>
      </c>
      <c r="H9" s="134"/>
      <c r="I9" s="133"/>
      <c r="M9" s="82"/>
    </row>
    <row r="10" spans="2:13" x14ac:dyDescent="0.25">
      <c r="B10" t="s">
        <v>316</v>
      </c>
      <c r="C10" s="82">
        <v>8.9171974522292988E-2</v>
      </c>
      <c r="D10" s="82">
        <v>0.10904255319148937</v>
      </c>
      <c r="E10" s="82">
        <v>7.5971731448763249E-2</v>
      </c>
      <c r="F10" s="82">
        <v>6.6406250000000014E-2</v>
      </c>
      <c r="H10" s="134"/>
      <c r="I10" s="133"/>
      <c r="M10" s="82"/>
    </row>
    <row r="11" spans="2:13" x14ac:dyDescent="0.25">
      <c r="B11" t="s">
        <v>318</v>
      </c>
      <c r="C11" s="82">
        <v>2.7600849256900213E-2</v>
      </c>
      <c r="D11" s="82">
        <v>5.3191489361702128E-2</v>
      </c>
      <c r="E11" s="82">
        <v>7.2438162544169613E-2</v>
      </c>
      <c r="F11" s="82">
        <v>6.1197916666666671E-2</v>
      </c>
      <c r="H11" s="134"/>
      <c r="I11" s="133"/>
    </row>
    <row r="12" spans="2:13" x14ac:dyDescent="0.25">
      <c r="B12" t="s">
        <v>319</v>
      </c>
      <c r="C12" s="82">
        <v>1.4861995753715499E-2</v>
      </c>
      <c r="D12" s="82">
        <v>2.9255319148936171E-2</v>
      </c>
      <c r="E12" s="82">
        <v>3.9752650176678443E-2</v>
      </c>
      <c r="F12" s="82">
        <v>4.2968750000000007E-2</v>
      </c>
      <c r="H12" s="134"/>
      <c r="I12" s="133"/>
    </row>
    <row r="13" spans="2:13" x14ac:dyDescent="0.25">
      <c r="D13" s="82"/>
      <c r="H13" s="134"/>
      <c r="J13" s="82"/>
    </row>
    <row r="14" spans="2:13" x14ac:dyDescent="0.25">
      <c r="H14" s="136"/>
    </row>
  </sheetData>
  <sortState ref="B6:F12">
    <sortCondition descending="1" ref="F6:F12"/>
  </sortState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workbookViewId="0">
      <selection activeCell="G6" sqref="G6:G12"/>
    </sheetView>
  </sheetViews>
  <sheetFormatPr defaultRowHeight="15" x14ac:dyDescent="0.25"/>
  <cols>
    <col min="2" max="2" width="22.7109375" customWidth="1"/>
    <col min="3" max="4" width="10.140625" bestFit="1" customWidth="1"/>
    <col min="13" max="13" width="9.5703125" bestFit="1" customWidth="1"/>
  </cols>
  <sheetData>
    <row r="1" spans="2:14" x14ac:dyDescent="0.25">
      <c r="B1" t="s">
        <v>302</v>
      </c>
    </row>
    <row r="2" spans="2:14" x14ac:dyDescent="0.25">
      <c r="B2" t="s">
        <v>338</v>
      </c>
    </row>
    <row r="3" spans="2:14" x14ac:dyDescent="0.25">
      <c r="B3" t="s">
        <v>280</v>
      </c>
    </row>
    <row r="4" spans="2:14" ht="15.75" x14ac:dyDescent="0.25">
      <c r="B4" s="130" t="s">
        <v>306</v>
      </c>
    </row>
    <row r="5" spans="2:14" x14ac:dyDescent="0.25">
      <c r="B5" s="83"/>
      <c r="C5" s="83" t="s">
        <v>339</v>
      </c>
      <c r="D5" s="83" t="s">
        <v>341</v>
      </c>
      <c r="E5" s="83" t="s">
        <v>340</v>
      </c>
      <c r="F5" s="83" t="s">
        <v>342</v>
      </c>
      <c r="G5" s="83" t="s">
        <v>337</v>
      </c>
    </row>
    <row r="6" spans="2:14" x14ac:dyDescent="0.25">
      <c r="B6" s="83" t="s">
        <v>314</v>
      </c>
      <c r="C6" s="142">
        <v>0.28343558282208592</v>
      </c>
      <c r="D6" s="142">
        <v>7.575757575757576E-2</v>
      </c>
      <c r="E6" s="142">
        <v>0.3392857142857143</v>
      </c>
      <c r="F6" s="142">
        <v>0.48872180451127817</v>
      </c>
      <c r="G6" s="142">
        <v>0.625</v>
      </c>
      <c r="H6" s="82"/>
      <c r="I6" s="82"/>
      <c r="J6" s="82"/>
      <c r="K6" s="134"/>
      <c r="M6" s="82"/>
    </row>
    <row r="7" spans="2:14" x14ac:dyDescent="0.25">
      <c r="B7" s="83" t="s">
        <v>316</v>
      </c>
      <c r="C7" s="142">
        <v>9.0797546012269942E-2</v>
      </c>
      <c r="D7" s="142">
        <v>0.12878787878787878</v>
      </c>
      <c r="E7" s="142">
        <v>5.9523809523809521E-2</v>
      </c>
      <c r="F7" s="142">
        <v>-7.5187969924812026E-3</v>
      </c>
      <c r="G7" s="142">
        <v>0.35714285714285715</v>
      </c>
      <c r="H7" s="82"/>
      <c r="I7" s="82"/>
      <c r="J7" s="82"/>
      <c r="K7" s="134"/>
      <c r="M7" s="82"/>
    </row>
    <row r="8" spans="2:14" x14ac:dyDescent="0.25">
      <c r="B8" s="83" t="s">
        <v>318</v>
      </c>
      <c r="C8" s="142">
        <v>6.1349693251533742E-2</v>
      </c>
      <c r="D8" s="142">
        <v>0.12121212121212122</v>
      </c>
      <c r="E8" s="142">
        <v>0.14285714285714285</v>
      </c>
      <c r="F8" s="142">
        <v>0.11278195488721804</v>
      </c>
      <c r="G8" s="142">
        <v>8.9285714285714288E-2</v>
      </c>
      <c r="H8" s="82"/>
      <c r="I8" s="82"/>
      <c r="J8" s="82"/>
      <c r="K8" s="134"/>
      <c r="M8" s="82"/>
    </row>
    <row r="9" spans="2:14" x14ac:dyDescent="0.25">
      <c r="B9" s="83" t="s">
        <v>317</v>
      </c>
      <c r="C9" s="142">
        <v>3.0674846625766871E-2</v>
      </c>
      <c r="D9" s="142">
        <v>0.14393939393939395</v>
      </c>
      <c r="E9" s="142">
        <v>0.19642857142857142</v>
      </c>
      <c r="F9" s="142">
        <v>0.15037593984962405</v>
      </c>
      <c r="G9" s="142">
        <v>0</v>
      </c>
      <c r="H9" s="82"/>
      <c r="I9" s="82"/>
      <c r="J9" s="82"/>
      <c r="K9" s="134"/>
      <c r="M9" s="82"/>
    </row>
    <row r="10" spans="2:14" x14ac:dyDescent="0.25">
      <c r="B10" s="83" t="s">
        <v>319</v>
      </c>
      <c r="C10" s="142">
        <v>5.3987730061349701E-2</v>
      </c>
      <c r="D10" s="142">
        <v>9.0909090909090912E-2</v>
      </c>
      <c r="E10" s="142">
        <v>8.3333333333333329E-2</v>
      </c>
      <c r="F10" s="142">
        <v>0.15037593984962405</v>
      </c>
      <c r="G10" s="142">
        <v>-0.20535714285714285</v>
      </c>
      <c r="H10" s="82"/>
      <c r="I10" s="82"/>
      <c r="J10" s="82"/>
      <c r="K10" s="134"/>
      <c r="M10" s="82"/>
    </row>
    <row r="11" spans="2:14" x14ac:dyDescent="0.25">
      <c r="B11" s="83" t="s">
        <v>315</v>
      </c>
      <c r="C11" s="142">
        <v>0.20122699386503065</v>
      </c>
      <c r="D11" s="142">
        <v>7.575757575757576E-3</v>
      </c>
      <c r="E11" s="142">
        <v>0.24404761904761904</v>
      </c>
      <c r="F11" s="142">
        <v>0.45864661654135336</v>
      </c>
      <c r="G11" s="142">
        <v>-0.7142857142857143</v>
      </c>
      <c r="H11" s="82"/>
      <c r="I11" s="82"/>
      <c r="J11" s="82"/>
      <c r="K11" s="134"/>
      <c r="M11" s="82"/>
    </row>
    <row r="12" spans="2:14" x14ac:dyDescent="0.25">
      <c r="B12" s="83" t="s">
        <v>313</v>
      </c>
      <c r="C12" s="142">
        <v>0.27852760736196319</v>
      </c>
      <c r="D12" s="142">
        <v>0.43181818181818182</v>
      </c>
      <c r="E12" s="142">
        <v>-6.5476190476190479E-2</v>
      </c>
      <c r="F12" s="142">
        <v>-0.35338345864661652</v>
      </c>
      <c r="G12" s="142">
        <v>-1.1517857142857144</v>
      </c>
      <c r="H12" s="82"/>
      <c r="I12" s="82"/>
      <c r="J12" s="82"/>
      <c r="K12" s="134"/>
      <c r="M12" s="82"/>
    </row>
    <row r="13" spans="2:14" x14ac:dyDescent="0.25">
      <c r="B13" s="83"/>
      <c r="C13" s="83"/>
      <c r="D13" s="83"/>
      <c r="E13" s="83"/>
      <c r="F13" s="83"/>
      <c r="G13" s="83"/>
      <c r="J13" s="134"/>
      <c r="K13" s="134"/>
      <c r="L13" s="82"/>
      <c r="M13" s="138"/>
    </row>
    <row r="14" spans="2:14" x14ac:dyDescent="0.25">
      <c r="B14" s="83"/>
      <c r="C14" s="83"/>
      <c r="D14" s="83"/>
      <c r="E14" s="83"/>
      <c r="F14" s="83"/>
      <c r="G14" s="83"/>
      <c r="K14" s="136"/>
    </row>
    <row r="15" spans="2:14" x14ac:dyDescent="0.25"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</row>
    <row r="16" spans="2:14" x14ac:dyDescent="0.25">
      <c r="B16" s="83"/>
      <c r="C16" s="128"/>
      <c r="D16" s="83"/>
      <c r="E16" s="83"/>
      <c r="F16" s="142"/>
      <c r="G16" s="142"/>
      <c r="H16" s="142"/>
      <c r="I16" s="83"/>
      <c r="J16" s="83"/>
      <c r="K16" s="83"/>
      <c r="L16" s="83"/>
      <c r="M16" s="142"/>
      <c r="N16" s="142"/>
    </row>
    <row r="17" spans="2:14" x14ac:dyDescent="0.25">
      <c r="B17" s="83"/>
      <c r="C17" s="128"/>
      <c r="D17" s="83"/>
      <c r="E17" s="83"/>
      <c r="F17" s="142"/>
      <c r="G17" s="142"/>
      <c r="H17" s="142"/>
      <c r="I17" s="83"/>
      <c r="J17" s="83"/>
      <c r="K17" s="83"/>
      <c r="L17" s="83"/>
      <c r="M17" s="142"/>
      <c r="N17" s="142"/>
    </row>
    <row r="18" spans="2:14" x14ac:dyDescent="0.25">
      <c r="B18" s="83"/>
      <c r="C18" s="128"/>
      <c r="D18" s="83"/>
      <c r="E18" s="83"/>
      <c r="F18" s="142"/>
      <c r="G18" s="142"/>
      <c r="H18" s="142"/>
      <c r="I18" s="129"/>
      <c r="J18" s="83"/>
      <c r="K18" s="143"/>
      <c r="L18" s="83"/>
      <c r="M18" s="142"/>
      <c r="N18" s="142"/>
    </row>
    <row r="19" spans="2:14" x14ac:dyDescent="0.25">
      <c r="B19" s="83"/>
      <c r="C19" s="128"/>
      <c r="D19" s="83"/>
      <c r="E19" s="83"/>
      <c r="F19" s="142"/>
      <c r="G19" s="142"/>
      <c r="H19" s="142"/>
      <c r="I19" s="129"/>
      <c r="J19" s="83"/>
      <c r="K19" s="143"/>
      <c r="L19" s="83"/>
      <c r="M19" s="142"/>
      <c r="N19" s="142"/>
    </row>
    <row r="20" spans="2:14" x14ac:dyDescent="0.25">
      <c r="B20" s="83"/>
      <c r="C20" s="144"/>
      <c r="D20" s="83"/>
      <c r="E20" s="83"/>
      <c r="F20" s="142"/>
      <c r="G20" s="142"/>
      <c r="H20" s="142"/>
      <c r="I20" s="129"/>
      <c r="J20" s="83"/>
      <c r="K20" s="143"/>
      <c r="L20" s="83"/>
      <c r="M20" s="142"/>
      <c r="N20" s="142"/>
    </row>
    <row r="21" spans="2:14" x14ac:dyDescent="0.25">
      <c r="B21" s="83"/>
      <c r="C21" s="128"/>
      <c r="D21" s="83"/>
      <c r="E21" s="83"/>
      <c r="F21" s="142"/>
      <c r="G21" s="142"/>
      <c r="H21" s="142"/>
      <c r="I21" s="129"/>
      <c r="J21" s="83"/>
      <c r="K21" s="143"/>
      <c r="L21" s="83"/>
      <c r="M21" s="142"/>
      <c r="N21" s="142"/>
    </row>
    <row r="22" spans="2:14" x14ac:dyDescent="0.25">
      <c r="B22" s="83"/>
      <c r="C22" s="144"/>
      <c r="D22" s="83"/>
      <c r="E22" s="83"/>
      <c r="F22" s="142"/>
      <c r="G22" s="142"/>
      <c r="H22" s="142"/>
      <c r="I22" s="129"/>
      <c r="J22" s="83"/>
      <c r="K22" s="143"/>
      <c r="L22" s="83"/>
      <c r="M22" s="142"/>
      <c r="N22" s="142"/>
    </row>
    <row r="23" spans="2:14" x14ac:dyDescent="0.25">
      <c r="B23" s="83"/>
      <c r="C23" s="143"/>
      <c r="D23" s="143"/>
      <c r="E23" s="143"/>
      <c r="F23" s="143"/>
      <c r="G23" s="142"/>
      <c r="H23" s="142"/>
      <c r="I23" s="129"/>
      <c r="J23" s="83"/>
      <c r="K23" s="142"/>
      <c r="L23" s="83"/>
      <c r="M23" s="83"/>
      <c r="N23" s="83"/>
    </row>
    <row r="24" spans="2:14" x14ac:dyDescent="0.25">
      <c r="B24" s="83"/>
      <c r="C24" s="143"/>
      <c r="D24" s="143"/>
      <c r="E24" s="143"/>
      <c r="F24" s="143"/>
      <c r="G24" s="142"/>
      <c r="H24" s="142"/>
      <c r="I24" s="129"/>
      <c r="J24" s="83"/>
      <c r="K24" s="83"/>
      <c r="L24" s="83"/>
      <c r="M24" s="83"/>
      <c r="N24" s="83"/>
    </row>
    <row r="25" spans="2:14" x14ac:dyDescent="0.25">
      <c r="B25" s="83"/>
      <c r="C25" s="143"/>
      <c r="D25" s="143"/>
      <c r="E25" s="143"/>
      <c r="F25" s="143"/>
      <c r="G25" s="143"/>
      <c r="H25" s="83"/>
      <c r="I25" s="142"/>
      <c r="J25" s="83"/>
      <c r="K25" s="83"/>
      <c r="L25" s="83"/>
      <c r="M25" s="83"/>
      <c r="N25" s="83"/>
    </row>
    <row r="26" spans="2:14" x14ac:dyDescent="0.25">
      <c r="B26" s="83"/>
      <c r="C26" s="143"/>
      <c r="D26" s="143"/>
      <c r="E26" s="143"/>
      <c r="F26" s="143"/>
      <c r="G26" s="143"/>
      <c r="H26" s="83"/>
      <c r="I26" s="142"/>
      <c r="J26" s="83"/>
    </row>
    <row r="27" spans="2:14" x14ac:dyDescent="0.25">
      <c r="B27" s="83"/>
      <c r="C27" s="142"/>
      <c r="D27" s="83"/>
      <c r="E27" s="129"/>
      <c r="F27" s="83"/>
      <c r="G27" s="83"/>
      <c r="H27" s="83"/>
      <c r="I27" s="83"/>
      <c r="J27" s="83"/>
    </row>
    <row r="28" spans="2:14" x14ac:dyDescent="0.25">
      <c r="B28" s="83"/>
      <c r="C28" s="83"/>
      <c r="D28" s="83"/>
      <c r="E28" s="83"/>
      <c r="F28" s="83"/>
      <c r="G28" s="145"/>
      <c r="H28" s="83"/>
      <c r="I28" s="83"/>
      <c r="J28" s="83"/>
    </row>
    <row r="29" spans="2:14" x14ac:dyDescent="0.25">
      <c r="B29" s="83"/>
      <c r="C29" s="83"/>
      <c r="D29" s="83"/>
      <c r="E29" s="83"/>
      <c r="F29" s="83"/>
      <c r="G29" s="83"/>
      <c r="H29" s="83"/>
      <c r="I29" s="83"/>
      <c r="J29" s="83"/>
    </row>
    <row r="30" spans="2:14" x14ac:dyDescent="0.25">
      <c r="B30" s="83"/>
      <c r="C30" s="83"/>
      <c r="D30" s="83"/>
      <c r="E30" s="83"/>
      <c r="F30" s="83"/>
      <c r="G30" s="83"/>
      <c r="H30" s="83"/>
      <c r="I30" s="83"/>
      <c r="J30" s="83"/>
    </row>
  </sheetData>
  <sortState ref="B6:G12">
    <sortCondition descending="1" ref="G6:G1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Врезка1</vt:lpstr>
      <vt:lpstr>Врезка2</vt:lpstr>
      <vt:lpstr>Архив</vt:lpstr>
      <vt:lpstr>Архив2</vt:lpstr>
      <vt:lpstr>Рис 10 архив</vt:lpstr>
      <vt:lpstr>Рис14 архив</vt:lpstr>
      <vt:lpstr>Рис2.1</vt:lpstr>
      <vt:lpstr>Page1_1 (8)</vt:lpstr>
      <vt:lpstr>Page1_1 (10)</vt:lpstr>
    </vt:vector>
  </TitlesOfParts>
  <Company>Central Bank of Russian Federation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2015-04-07T12:51:50Z</cp:lastPrinted>
  <dcterms:created xsi:type="dcterms:W3CDTF">2014-11-05T11:46:40Z</dcterms:created>
  <dcterms:modified xsi:type="dcterms:W3CDTF">2022-08-15T09:15:09Z</dcterms:modified>
</cp:coreProperties>
</file>